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codeName="{FF626003-D37A-9D15-2B65-D2D8C0A508C5}"/>
  <workbookPr codeName="EstaPasta_de_trabalho"/>
  <workbookProtection workbookAlgorithmName="SHA-512" workbookHashValue="1Pste2paELXRd4bXSOjWvjIWtL+35HW6bdR7xFRpCCxL6UQ6yoltLzv9RlFfppksrBzLfvAdmVWrx8rQHX3n0A==" workbookSpinCount="100000" workbookSaltValue="lgFn6n4TW8JmWvv8xlomXQ==" lockStructure="1"/>
  <bookViews>
    <workbookView xWindow="0" yWindow="0" windowWidth="23040" windowHeight="8484" activeTab="2"/>
  </bookViews>
  <sheets>
    <sheet name="DADOS" sheetId="16" r:id="rId1"/>
    <sheet name="BDI (1)" sheetId="17" state="hidden" r:id="rId2"/>
    <sheet name="PO" sheetId="12" r:id="rId3"/>
    <sheet name="PLQ" sheetId="13" r:id="rId4"/>
    <sheet name="CFF" sheetId="11" r:id="rId5"/>
  </sheets>
  <definedNames>
    <definedName name="_xlnm.Print_Area" localSheetId="1">'BDI (1)'!$I$1:$R$50</definedName>
    <definedName name="_xlnm.Print_Area" localSheetId="4">'CFF'!$L$1:$X$51</definedName>
    <definedName name="_xlnm.Print_Area" localSheetId="0">'DADOS'!$A$1:$X$87</definedName>
    <definedName name="_xlnm.Print_Area" localSheetId="3">'PLQ'!$B$1:$P$66</definedName>
    <definedName name="_xlnm.Print_Area" localSheetId="2">'PO'!$K$1:$T$75</definedName>
    <definedName name="DATABASE">TEXT(Import.DataBase,"mm-aaaa")</definedName>
    <definedName name="CFF.ColunaPadrão">'CFF'!$AC:$AC</definedName>
    <definedName name="CFF.Colunas">'CFF'!$P$10:$X$10</definedName>
    <definedName name="CFF.Dados">OFFSET('CFF'!$L$17,1,0):OFFSET('CFF'!$X$45,-1,-1)</definedName>
    <definedName name="CFF.IncluirLinha">MAX('PO'!$V$12:$V$60)*CFF.NumLinha-ROW('CFF'!$F$45)+ROW('CFF'!$F$17)+1</definedName>
    <definedName name="CFF.Item">OFFSET('CFF'!$L$17,1,0):OFFSET('CFF'!$X$45,-1,-1)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OFFSET('PO'!$M$12,1,0):OFFSET('PO'!$M$60,-1,0)</definedName>
    <definedName name="Import.CR">'DADOS'!$A$29</definedName>
    <definedName name="Import.CTEF">'DADOS'!$A$43</definedName>
    <definedName name="Import.CustoUnitário">OFFSET('PO'!$Q$12,1,0):OFFSET('PO'!$Q$60,-1,0)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OFFSET('PO'!$N$12,1,0):OFFSET('PO'!$N$60,-1,0)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OFFSET('PO'!$L$12,1,0):OFFSET('PO'!$L$60,-1,0)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OFFSET('PO'!$K$12,1,0):OFFSET('PO'!$K$60,-1,0)</definedName>
    <definedName name="Import.Localidade">'DADOS'!$K$32</definedName>
    <definedName name="Import.LocalSINAPI">'DADOS'!$D$38</definedName>
    <definedName name="Import.Município">'DADOS'!$G$32</definedName>
    <definedName name="Import.Nível">OFFSET('PO'!$J$12,1,0):OFFSET('PO'!$J$60,-1,0)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OFFSET('PLQ'!$F$12,1,0):OFFSET('PLQ'!$P$60,-1,-1)</definedName>
    <definedName name="Import.POArred">'PO'!$X$3:$X$7</definedName>
    <definedName name="Import.PreçoTotal">OFFSET('PO'!$T$12,1,0):OFFSET('PO'!$T$60,-1,0)</definedName>
    <definedName name="Import.PreçoUnitário">OFFSET('PO'!$S$12,1,0):OFFSET('PO'!$S$60,-1,0)</definedName>
    <definedName name="Import.Programa">'DADOS'!$F$29</definedName>
    <definedName name="Import.Proponente">'DADOS'!$A$32</definedName>
    <definedName name="Import.Quantidade">OFFSET('PO'!$P$12,1,0):OFFSET('PO'!$P$60,-1,0)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OFFSET('PO'!$O$12,1,0):OFFSET('PO'!$O$60,-1,0)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OFFSET('PO'!$Z$12,1,0):OFFSET('PO'!$Z$60,-1,0)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'PO'!$K$61</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'PLQ'!$B$9:OFFSET('PLQ'!$B$60,-1,0)</definedName>
    <definedName name="PLQ.LinhaPadrão">'PLQ'!$A$11:$P$11</definedName>
    <definedName name="PLQ.qtde.frentes">COUNTA('PLQ'!$F$9:$P$9)</definedName>
    <definedName name="PO.BDI">OFFSET('PO'!$R$12,1,0):OFFSET('PO'!$R$60,-1,0)</definedName>
    <definedName name="PO.CustoRef">OFFSET('PO'!$Y$12,1,0):OFFSET('PO'!$Y$60,-1,0)</definedName>
    <definedName name="PO.CustoUnitario">ROUND('PO'!$Q1,15-13*'PO'!$X$4)</definedName>
    <definedName name="PO.Dados">'PO'!$C$12:OFFSET('PO'!$Z$60,-1,0)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Versao">'DADOS'!$A$2</definedName>
    <definedName name="VTOTAL1">ROUND(PO.Quantidade*PO.PrecoUnitario,15-13*'PO'!$X$7)</definedName>
    <definedName name="_xlnm.Print_Titles" localSheetId="2">'PO'!$10:$10</definedName>
    <definedName name="_xlnm.Print_Titles" localSheetId="3">'PLQ'!$B:$E,'PLQ'!$9:$10</definedName>
    <definedName name="_xlnm.Print_Titles" localSheetId="4">'CFF'!$L:$O,'CFF'!$10:$10</definedName>
  </definedNames>
  <calcPr calcId="162913"/>
</workbook>
</file>

<file path=xl/sharedStrings.xml><?xml version="1.0" encoding="utf-8"?>
<sst xmlns="http://schemas.openxmlformats.org/spreadsheetml/2006/main" count="636" uniqueCount="324">
  <si>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</si>
  <si>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</si>
  <si>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</si>
  <si>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</si>
  <si>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</si>
  <si>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</si>
  <si>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</si>
  <si>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</si>
  <si>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</si>
  <si>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</si>
  <si>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</si>
  <si>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</si>
  <si>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</si>
  <si>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</si>
  <si>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</si>
  <si>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</si>
  <si>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</si>
  <si>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</si>
  <si>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</si>
  <si>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</si>
  <si>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</si>
  <si>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</si>
  <si>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</si>
  <si>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</si>
  <si>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</si>
  <si>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</si>
  <si>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</si>
  <si>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</si>
  <si>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</si>
  <si>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</si>
  <si>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</si>
  <si>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</si>
  <si>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</si>
  <si>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</si>
  <si>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</si>
  <si>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</si>
  <si>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</si>
  <si>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</si>
  <si>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</si>
  <si>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</si>
  <si>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</si>
  <si>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</si>
  <si>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</si>
  <si>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</si>
  <si>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</si>
  <si>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</si>
  <si>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</si>
  <si>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</si>
  <si>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</si>
  <si>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</si>
  <si>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</si>
  <si>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</si>
  <si>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</si>
  <si>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</si>
  <si>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</si>
  <si>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</si>
  <si>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</si>
  <si>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</si>
  <si>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</si>
  <si>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</si>
  <si>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</si>
  <si>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</si>
  <si>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</si>
  <si>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</si>
  <si>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</si>
  <si>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</si>
  <si>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</si>
  <si>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</si>
  <si>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</si>
  <si>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</si>
  <si>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</si>
  <si>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</si>
  <si>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</si>
  <si>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</si>
  <si>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</si>
  <si>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</si>
  <si>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</si>
  <si>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</si>
  <si>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</si>
  <si>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</si>
  <si>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</si>
  <si>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</si>
  <si>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</si>
  <si>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</si>
  <si>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</si>
  <si>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</si>
  <si>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</si>
  <si>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</si>
  <si>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</si>
  <si>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</si>
  <si>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</si>
  <si>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</si>
  <si>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</si>
  <si>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</si>
  <si>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</si>
  <si>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</si>
  <si>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</si>
  <si>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</si>
  <si>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</si>
  <si>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</si>
  <si>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</si>
  <si>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</si>
  <si>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</si>
  <si>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</si>
  <si>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</si>
  <si>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</si>
  <si>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</si>
  <si>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</si>
  <si>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</si>
  <si>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</si>
  <si>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</si>
  <si>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</si>
  <si>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</si>
  <si>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</si>
  <si>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</si>
  <si>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</si>
  <si>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</si>
  <si>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</si>
  <si>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</si>
  <si>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</si>
  <si>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</si>
  <si>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</si>
  <si>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</si>
  <si>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</si>
  <si>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</si>
  <si>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</si>
  <si>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</si>
  <si>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</si>
  <si>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</si>
  <si>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</si>
  <si>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</si>
  <si>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</si>
  <si>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</si>
  <si>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</si>
  <si>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</si>
  <si>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</si>
  <si>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</si>
  <si>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</si>
  <si>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</si>
  <si>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</si>
  <si>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</si>
  <si>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</si>
  <si>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</si>
  <si>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</si>
  <si>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</si>
  <si>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</si>
  <si>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</si>
  <si>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</si>
  <si>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</si>
  <si>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</si>
  <si>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</si>
  <si>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</si>
  <si>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</si>
  <si>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</si>
  <si>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</si>
  <si>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</si>
  <si>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</si>
  <si>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</si>
  <si>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</si>
  <si>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</si>
  <si>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</si>
  <si>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</si>
  <si>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</si>
  <si>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</si>
  <si>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</si>
  <si>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</si>
  <si>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</si>
  <si>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</si>
  <si>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</si>
  <si>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</si>
  <si>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</si>
  <si>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</si>
  <si>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</si>
  <si>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</si>
  <si>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</si>
  <si>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</si>
  <si>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</si>
  <si>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</si>
  <si>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</si>
  <si>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</si>
  <si>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</si>
  <si>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</si>
  <si>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</si>
  <si>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</si>
  <si>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</si>
  <si>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</si>
  <si>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</si>
  <si>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</si>
  <si>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</si>
  <si>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</si>
  <si>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</si>
  <si>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</si>
  <si>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</si>
  <si>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</si>
  <si>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</si>
  <si>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</si>
  <si>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</si>
  <si>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</si>
  <si>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</si>
  <si>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</si>
  <si>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</si>
  <si>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</si>
  <si>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</si>
  <si>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</si>
  <si>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</si>
  <si>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</si>
  <si>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</si>
  <si>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</si>
  <si>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</si>
  <si>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</si>
  <si>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</si>
  <si>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</si>
  <si>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</si>
  <si>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</si>
  <si>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</si>
  <si>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</si>
  <si>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</si>
  <si>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</si>
  <si>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</si>
  <si>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</si>
  <si>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</si>
  <si>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</si>
  <si>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</si>
  <si>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</si>
  <si>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</si>
  <si>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</si>
  <si>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</si>
  <si>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</si>
  <si>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v007</t>
  </si>
  <si>
    <t>m²</t>
  </si>
  <si>
    <t>MCIDADES</t>
  </si>
  <si>
    <t>PLANEJAMENTO URBANO</t>
  </si>
  <si>
    <t>SINAPI</t>
  </si>
  <si>
    <t>Placa de Obra em Chapa de Aço Galvanizado - 2,00 x 1,25 m</t>
  </si>
  <si>
    <t>74209/001</t>
  </si>
  <si>
    <t>und</t>
  </si>
  <si>
    <t>ADMINISTRAÇÃO LOCAL</t>
  </si>
  <si>
    <t>SINALIZAÇÃO PROVISÓRIA DA OBRA</t>
  </si>
  <si>
    <t>Placa de Sinalização em chapa de aço Num 16 com pintura refletiva</t>
  </si>
  <si>
    <t>34723</t>
  </si>
  <si>
    <t>m³</t>
  </si>
  <si>
    <t>DRENAGEM PLUVIAL</t>
  </si>
  <si>
    <t>Tubo Concreto Simples Classe PS1, PB DN 400 mm p/ aguas pluviais (NBR 8890)</t>
  </si>
  <si>
    <t>m</t>
  </si>
  <si>
    <t xml:space="preserve">Assentamento de tubo de concreto para redes coletoras de águas pluviais diâmetro de 400 mm, junta rígida, instalada em local com baixo nível de interferência </t>
  </si>
  <si>
    <t>92809</t>
  </si>
  <si>
    <t>Remoção de tubulação existente</t>
  </si>
  <si>
    <t>94273</t>
  </si>
  <si>
    <t>Placa de sinalização viária octogonal ; L=25 cm, com suporte de aço galvanizado D = 50 mm e altura = 3m, inclusive base de concreto não estrutural   - PLACA DE PARE</t>
  </si>
  <si>
    <t>91131</t>
  </si>
  <si>
    <t>94802</t>
  </si>
  <si>
    <t>NÃO</t>
  </si>
  <si>
    <t>Município de Riqueza</t>
  </si>
  <si>
    <t>Riqueza / SC</t>
  </si>
  <si>
    <t>Rua dos Imigrantes e Rua Santos Dumont</t>
  </si>
  <si>
    <t>Pavimentação Asfáltica Rua Imigrantes e Santos Dumont</t>
  </si>
  <si>
    <t>Não</t>
  </si>
  <si>
    <t>PAVIMENTAÇÃO ASFÁLTICA; DRENAGEM PLUVIAL; SINALIZAÇÃO NA RUA DOS IMIGRANTES E SANTOS DUMONT</t>
  </si>
  <si>
    <t>SERVIÇOS PRELIMINARES</t>
  </si>
  <si>
    <t xml:space="preserve">Escavação vertical a céu aberto, incluindo carga, descarga e transporte em solo de 1ª categoria com escavadeira hidráulica </t>
  </si>
  <si>
    <t xml:space="preserve">89886 </t>
  </si>
  <si>
    <t>Reaterro de vala com escavadeira hidráulica e compactação manual</t>
  </si>
  <si>
    <t>93360</t>
  </si>
  <si>
    <t>Base para pavimentação com BRITA GRADUADA - Inclusive compactação. Espessura 15 cm</t>
  </si>
  <si>
    <t>73710</t>
  </si>
  <si>
    <t>Transporte comercial com caminhã basculante 6 m³, rodovia pavimentada -BRITA GRADUADA</t>
  </si>
  <si>
    <t>72887</t>
  </si>
  <si>
    <t>m³ x Km</t>
  </si>
  <si>
    <t>Construção de pavimento com aplicação de concreto betuminoso usinado a quente (CBUQ), camada de rolamento com espessura de 5,0 cm, exclusive transporte</t>
  </si>
  <si>
    <t>95995</t>
  </si>
  <si>
    <t>Tubo Concreto Simples Classe PS1, PB DN 300 mm p/ aguas pluviais (NBR 8890)</t>
  </si>
  <si>
    <t>7796</t>
  </si>
  <si>
    <t xml:space="preserve">Assentamento de tubo de concreto para redes coletoras de águas pluviais diâmetro de 300 mm, junta rígida, instalada em local com baixo nível de interferência </t>
  </si>
  <si>
    <t>92808</t>
  </si>
  <si>
    <t xml:space="preserve">7781 </t>
  </si>
  <si>
    <t>Boca de Lobo Simples Grelha de ferro. p/ tubo diâmetro 40 cm e 60 cm</t>
  </si>
  <si>
    <t>Composição 01</t>
  </si>
  <si>
    <t>Reforma de Boca de Lobo para encaixe de tubulação</t>
  </si>
  <si>
    <t>Composição 02</t>
  </si>
  <si>
    <t>SICRO</t>
  </si>
  <si>
    <t>5 S 04 999 01 D.</t>
  </si>
  <si>
    <t>Grade de ferro em barra chata 3/16"</t>
  </si>
  <si>
    <t>73932/001</t>
  </si>
  <si>
    <t>PAVIMENTAÇÃO ASFÁLTICA</t>
  </si>
  <si>
    <t>89886</t>
  </si>
  <si>
    <t>Embasamento com material granular - RACHÃO</t>
  </si>
  <si>
    <t xml:space="preserve">73817/002 </t>
  </si>
  <si>
    <t>Transporte comercial com caminhão basculante 6 m³, Rodovia Pavimentada - Rachão e Brita Graduada</t>
  </si>
  <si>
    <t>m³xKm</t>
  </si>
  <si>
    <t>Limpeza de superfícies com jato de alta pressão de ar e água</t>
  </si>
  <si>
    <t>73806/001</t>
  </si>
  <si>
    <t>72943</t>
  </si>
  <si>
    <t>Construção de pavimento com aplicação de concreto betuminoso usinado a quente (CBUQ), Binder com espessura de 3,0 cm, exclusive transporte</t>
  </si>
  <si>
    <t>95992</t>
  </si>
  <si>
    <t>Transporte comercial com caminhão basculante 6 m³, Rodovia Pavimentada</t>
  </si>
  <si>
    <t>Construção de pavimento com aplicação de concreto betuminoso usinado a quente (CBUQ), Camada de Rolamento com espessura de 4,0 cm, exclusive transporte</t>
  </si>
  <si>
    <t>95993</t>
  </si>
  <si>
    <t>Placa de sinalização viária circular D=50 cm, com suporte de aço galvanizado D = 50 mm e altura = 3m, inclusive base de concreto não estrutural   - VELOCIDADE 40 Km/h</t>
  </si>
  <si>
    <t>91127</t>
  </si>
  <si>
    <t>Placa de identificação de rua (2 placas 45 cm x 20 cm), com suporte de aço galvanizado D = 50 mm e altura = 3 m; inclusive base de concreto - PLACA DE RUA</t>
  </si>
  <si>
    <t>Placa de sinalização em chapa de aço n. 16 pintura com pintura refletiva - PLACA INDICATIVA DE ESTACIONAMENTO PARA IDOSOS</t>
  </si>
  <si>
    <t>PINTURA DE SINALIZAÇÃO</t>
  </si>
  <si>
    <t>Sinalização horizontal com tinta retrorefletiva a base de resina acrílica com microesferas de vidro - TODAS AS FAIXAS</t>
  </si>
  <si>
    <t>72947</t>
  </si>
  <si>
    <t>ENSAIOS TÉCNICOS</t>
  </si>
  <si>
    <t>Ensaio de densidade de material betuminoso</t>
  </si>
  <si>
    <t>74022/056</t>
  </si>
  <si>
    <t>Ensaio de Grau de compactação da mistura asfáltica</t>
  </si>
  <si>
    <t>74022/053</t>
  </si>
  <si>
    <t>Ensiao de Granuilometria do agregado / Espessura</t>
  </si>
  <si>
    <t xml:space="preserve">74022/052 </t>
  </si>
  <si>
    <t>Ensaio de percentagem de betume - Misturas Betuminosas</t>
  </si>
  <si>
    <t>74022/035</t>
  </si>
  <si>
    <t>MEIO FIO</t>
  </si>
  <si>
    <t>Meio Fio de concreto pré-fabricado, dimensões 100x15x13x30 cm (Comprimento x Base Inferior x Base Superior x Altura) para vias urbanas</t>
  </si>
  <si>
    <t>Rua dos Imigrantes - Trecho I</t>
  </si>
  <si>
    <t>Rua dos Imigrantes - Trecho II</t>
  </si>
  <si>
    <t>Rua dos Imigrantes - Trecho III</t>
  </si>
  <si>
    <t>Rua Santos Dumont</t>
  </si>
  <si>
    <t>84444/2017</t>
  </si>
  <si>
    <t xml:space="preserve">Realizar obras de melhoria na infraestrutura em vias públicas do perímetro urbano do Município de Riqueza (pavimentação asfáltica,
drenagem pluvial e sinalização viária
</t>
  </si>
  <si>
    <t>Composição 03</t>
  </si>
  <si>
    <t>Administração local da obra</t>
  </si>
  <si>
    <t>Pintura de Ligação com emulsão RR 2C taxa 0,60 L/m²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</si>
</sst>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48">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rgb="FF000000"/>
      <name val="Arial"/>
      <family val="2"/>
    </font>
    <font>
      <b/>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style="medium"/>
      <right/>
      <top/>
      <bottom/>
    </border>
    <border>
      <left/>
      <right style="thin"/>
      <top style="thin"/>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cellStyleXfs>
  <cellXfs count="400">
    <xf numFmtId="0" fontId="0" fillId="0" borderId="0" xfId="0"/>
    <xf numFmtId="0" fontId="0" fillId="0" borderId="0" xfId="0" applyProtection="1">
      <protection/>
    </xf>
    <xf numFmtId="0" fontId="0" fillId="0" borderId="0" xfId="0" applyFill="1" applyBorder="1" applyProtection="1">
      <protection/>
    </xf>
    <xf numFmtId="0" fontId="0" fillId="0" borderId="0" xfId="0" applyBorder="1" applyProtection="1">
      <protection/>
    </xf>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5" applyNumberFormat="1" applyFont="1" applyFill="1" applyBorder="1" applyAlignment="1" applyProtection="1">
      <alignment horizontal="center" vertical="center"/>
      <protection/>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applyFont="1"/>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xf numFmtId="0" fontId="0" fillId="0" borderId="0" xfId="0" applyFill="1" applyProtection="1">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10" fontId="0" fillId="0" borderId="0" xfId="95"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Protection="1">
      <protection/>
    </xf>
    <xf numFmtId="0" fontId="20" fillId="0" borderId="0" xfId="0" applyFont="1" applyAlignment="1">
      <alignment horizontal="left"/>
    </xf>
    <xf numFmtId="166" fontId="0" fillId="0" borderId="0" xfId="106" applyNumberFormat="1" applyFont="1" applyFill="1" applyBorder="1" applyProtection="1">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Protection="1">
      <protection/>
    </xf>
    <xf numFmtId="0" fontId="0" fillId="0" borderId="0" xfId="0" applyProtection="1">
      <protection hidden="1"/>
    </xf>
    <xf numFmtId="0" fontId="0" fillId="0" borderId="0" xfId="0" applyFont="1" applyProtection="1">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90" applyFont="1" applyProtection="1">
      <alignment/>
      <protection/>
    </xf>
    <xf numFmtId="0" fontId="21" fillId="0" borderId="0" xfId="90" applyFont="1" applyAlignment="1" applyProtection="1">
      <alignment horizontal="center"/>
      <protection/>
    </xf>
    <xf numFmtId="0" fontId="21" fillId="0" borderId="14" xfId="90" applyFont="1" applyBorder="1" applyAlignment="1" applyProtection="1">
      <alignment horizontal="center"/>
      <protection/>
    </xf>
    <xf numFmtId="10" fontId="29" fillId="0" borderId="14" xfId="90" applyNumberFormat="1" applyFont="1" applyFill="1" applyBorder="1" applyAlignment="1" applyProtection="1">
      <alignment horizontal="center"/>
      <protection/>
    </xf>
    <xf numFmtId="0" fontId="20" fillId="0" borderId="0" xfId="90" applyFont="1" applyAlignment="1" applyProtection="1">
      <alignment horizontal="center"/>
      <protection/>
    </xf>
    <xf numFmtId="0" fontId="30" fillId="0" borderId="0" xfId="90" applyFont="1" applyAlignment="1" applyProtection="1">
      <alignment/>
      <protection/>
    </xf>
    <xf numFmtId="0" fontId="21" fillId="0" borderId="0" xfId="90" applyFont="1" applyProtection="1">
      <alignment/>
      <protection/>
    </xf>
    <xf numFmtId="0" fontId="21" fillId="0" borderId="14" xfId="90" applyFont="1" applyFill="1" applyBorder="1" applyAlignment="1" applyProtection="1">
      <alignment horizontal="center" vertical="center" wrapText="1"/>
      <protection/>
    </xf>
    <xf numFmtId="0" fontId="28" fillId="0" borderId="14" xfId="90" applyFont="1" applyBorder="1" applyAlignment="1" applyProtection="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wrapText="1"/>
      <protection/>
    </xf>
    <xf numFmtId="0" fontId="28" fillId="0" borderId="14" xfId="90" applyFont="1" applyFill="1" applyBorder="1" applyAlignment="1" applyProtection="1">
      <alignment horizontal="center" vertical="center" wrapText="1"/>
      <protection/>
    </xf>
    <xf numFmtId="0" fontId="36" fillId="0" borderId="0" xfId="90" applyFont="1" applyFill="1" applyBorder="1" applyAlignment="1" applyProtection="1">
      <alignment horizontal="center" vertical="center" wrapText="1"/>
      <protection/>
    </xf>
    <xf numFmtId="10" fontId="36" fillId="0" borderId="0" xfId="90" applyNumberFormat="1" applyFont="1" applyFill="1" applyBorder="1" applyAlignment="1" applyProtection="1">
      <alignment horizontal="center" vertical="center"/>
      <protection/>
    </xf>
    <xf numFmtId="170" fontId="0" fillId="0" borderId="0" xfId="90" applyNumberFormat="1" applyFont="1" applyAlignment="1" applyProtection="1">
      <alignment/>
      <protection/>
    </xf>
    <xf numFmtId="0" fontId="28" fillId="0" borderId="0" xfId="90" applyFont="1" applyBorder="1" applyProtection="1">
      <alignment/>
      <protection/>
    </xf>
    <xf numFmtId="0" fontId="0" fillId="0" borderId="0" xfId="90" applyFont="1" applyBorder="1" applyProtection="1">
      <alignment/>
      <protection/>
    </xf>
    <xf numFmtId="0" fontId="28" fillId="0" borderId="0" xfId="90" applyFont="1" applyProtection="1">
      <alignment/>
      <protection/>
    </xf>
    <xf numFmtId="0" fontId="28" fillId="0" borderId="0" xfId="90" applyFont="1" applyAlignment="1" applyProtection="1">
      <alignment vertical="top"/>
      <protection/>
    </xf>
    <xf numFmtId="0" fontId="32" fillId="0" borderId="0" xfId="90"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Protection="1">
      <protection/>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1" applyFont="1" applyBorder="1" applyAlignment="1" applyProtection="1">
      <alignment vertical="top"/>
      <protection/>
    </xf>
    <xf numFmtId="0" fontId="21" fillId="0" borderId="15" xfId="91" applyFont="1" applyBorder="1" applyAlignment="1" applyProtection="1">
      <alignment horizontal="center" vertical="top"/>
      <protection/>
    </xf>
    <xf numFmtId="0" fontId="0" fillId="0" borderId="0" xfId="0" applyFont="1" applyProtection="1">
      <protection/>
    </xf>
    <xf numFmtId="10" fontId="0" fillId="22" borderId="16" xfId="95" applyNumberFormat="1" applyFont="1" applyFill="1" applyBorder="1" applyAlignment="1" applyProtection="1">
      <alignment horizontal="center" vertical="top" wrapText="1"/>
      <protection/>
    </xf>
    <xf numFmtId="10" fontId="0" fillId="0" borderId="16" xfId="95"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90" applyFont="1" applyBorder="1" applyAlignment="1" applyProtection="1">
      <alignment horizontal="center" vertical="top"/>
      <protection/>
    </xf>
    <xf numFmtId="0" fontId="35" fillId="0" borderId="0" xfId="91"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90" applyNumberFormat="1" applyFont="1" applyFill="1" applyBorder="1" applyAlignment="1" applyProtection="1">
      <alignment horizontal="center" vertical="center" wrapText="1"/>
      <protection/>
    </xf>
    <xf numFmtId="0" fontId="42" fillId="0" borderId="0" xfId="90" applyFont="1" applyAlignment="1" applyProtection="1">
      <alignment wrapText="1"/>
      <protection/>
    </xf>
    <xf numFmtId="0" fontId="43" fillId="0" borderId="0" xfId="90" applyFont="1" applyAlignment="1" applyProtection="1">
      <alignment vertical="top" wrapText="1"/>
      <protection/>
    </xf>
    <xf numFmtId="0" fontId="40" fillId="0" borderId="14" xfId="90" applyFont="1" applyBorder="1" applyAlignment="1" applyProtection="1">
      <alignment horizontal="center" vertical="center"/>
      <protection/>
    </xf>
    <xf numFmtId="4" fontId="24" fillId="0" borderId="0" xfId="90" applyNumberFormat="1" applyFont="1" applyFill="1" applyBorder="1" applyAlignment="1" applyProtection="1">
      <alignment horizontal="center" vertical="center" wrapText="1"/>
      <protection/>
    </xf>
    <xf numFmtId="0" fontId="0" fillId="0" borderId="0" xfId="90" applyFont="1" applyProtection="1">
      <alignment/>
      <protection locked="0"/>
    </xf>
    <xf numFmtId="0" fontId="21" fillId="0" borderId="0" xfId="0" applyFont="1"/>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xf numFmtId="0" fontId="0" fillId="0" borderId="0" xfId="0" applyFont="1" applyFill="1" applyBorder="1"/>
    <xf numFmtId="0" fontId="22" fillId="0" borderId="16" xfId="0" applyFont="1" applyBorder="1" applyAlignment="1">
      <alignment horizontal="center"/>
    </xf>
    <xf numFmtId="0" fontId="1"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1" applyFont="1" applyFill="1" applyBorder="1" applyAlignment="1" applyProtection="1">
      <alignment horizontal="left" vertical="top"/>
      <protection/>
    </xf>
    <xf numFmtId="0" fontId="21" fillId="0" borderId="11" xfId="91" applyFont="1" applyFill="1" applyBorder="1" applyAlignment="1" applyProtection="1">
      <alignment vertical="top"/>
      <protection/>
    </xf>
    <xf numFmtId="0" fontId="21" fillId="0" borderId="15" xfId="9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5" applyNumberFormat="1" applyFont="1" applyFill="1" applyBorder="1" applyAlignment="1" applyProtection="1">
      <alignment horizontal="center" vertical="top" wrapText="1"/>
      <protection/>
    </xf>
    <xf numFmtId="10" fontId="0" fillId="0" borderId="18" xfId="95" applyNumberFormat="1" applyFont="1" applyFill="1" applyBorder="1" applyAlignment="1" applyProtection="1">
      <alignment horizontal="left" vertical="top" wrapText="1"/>
      <protection/>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pplyProtection="1">
      <alignment horizontal="left"/>
      <protection/>
    </xf>
    <xf numFmtId="0" fontId="0" fillId="0" borderId="17" xfId="90"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5"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Protection="1">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Protection="1">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1"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5" applyNumberFormat="1" applyFont="1" applyFill="1" applyBorder="1" applyAlignment="1" applyProtection="1">
      <alignment horizontal="center" vertical="center"/>
      <protection/>
    </xf>
    <xf numFmtId="4" fontId="28" fillId="0" borderId="0" xfId="95"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Protection="1">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1" fillId="0" borderId="0" xfId="0" applyFont="1" applyFill="1" applyBorder="1" applyProtection="1">
      <protection/>
    </xf>
    <xf numFmtId="0" fontId="0" fillId="0" borderId="0" xfId="0" applyFont="1" applyBorder="1" applyProtection="1">
      <protection/>
    </xf>
    <xf numFmtId="0" fontId="1" fillId="0" borderId="0" xfId="0" applyFont="1" applyProtection="1">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1" fillId="0" borderId="0" xfId="0" applyNumberFormat="1" applyFont="1" applyProtection="1">
      <protection/>
    </xf>
    <xf numFmtId="0" fontId="21" fillId="0" borderId="17" xfId="0" applyFont="1" applyFill="1" applyBorder="1" applyAlignment="1" applyProtection="1">
      <alignment horizontal="left" vertical="center"/>
      <protection/>
    </xf>
    <xf numFmtId="0" fontId="0" fillId="0" borderId="17" xfId="0" applyFont="1" applyBorder="1" applyProtection="1">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Protection="1">
      <protection/>
    </xf>
    <xf numFmtId="0" fontId="0" fillId="0" borderId="11" xfId="0" applyBorder="1" applyProtection="1" quotePrefix="1">
      <protection/>
    </xf>
    <xf numFmtId="10" fontId="28" fillId="0" borderId="11" xfId="95" applyNumberFormat="1" applyFont="1" applyFill="1" applyBorder="1" applyAlignment="1" applyProtection="1">
      <alignment horizontal="center" vertical="center"/>
      <protection/>
    </xf>
    <xf numFmtId="4" fontId="28" fillId="0" borderId="11" xfId="95"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5"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5" applyNumberFormat="1" applyFont="1" applyFill="1" applyBorder="1" applyAlignment="1" applyProtection="1">
      <alignment horizontal="center" vertical="center" shrinkToFit="1"/>
      <protection/>
    </xf>
    <xf numFmtId="10" fontId="24" fillId="25" borderId="0" xfId="95" applyNumberFormat="1" applyFont="1" applyFill="1" applyBorder="1" applyAlignment="1" applyProtection="1">
      <alignment horizontal="center" vertical="center" shrinkToFit="1"/>
      <protection/>
    </xf>
    <xf numFmtId="4" fontId="28" fillId="0" borderId="12" xfId="95" applyNumberFormat="1" applyFont="1" applyFill="1" applyBorder="1" applyAlignment="1" applyProtection="1">
      <alignment horizontal="center" vertical="center"/>
      <protection/>
    </xf>
    <xf numFmtId="10" fontId="0" fillId="0" borderId="14" xfId="0" applyNumberFormat="1" applyBorder="1" applyProtection="1">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xf numFmtId="0" fontId="0" fillId="0" borderId="0" xfId="0" quotePrefix="1"/>
    <xf numFmtId="0" fontId="28" fillId="0" borderId="0" xfId="0" applyFont="1" applyFill="1" applyBorder="1" applyAlignment="1" applyProtection="1">
      <alignment horizontal="left" wrapText="1"/>
      <protection locked="0"/>
    </xf>
    <xf numFmtId="0" fontId="0" fillId="0" borderId="14" xfId="0" applyFont="1" applyBorder="1" applyProtection="1">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5"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xf numFmtId="164" fontId="0" fillId="22" borderId="24" xfId="106" applyNumberFormat="1" applyFont="1" applyFill="1" applyBorder="1" applyAlignment="1" applyProtection="1">
      <alignment vertical="center" shrinkToFit="1"/>
      <protection/>
    </xf>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5" applyNumberFormat="1" applyFont="1" applyFill="1" applyBorder="1" applyAlignment="1" applyProtection="1">
      <alignment horizontal="center" vertical="center" wrapText="1"/>
      <protection locked="0"/>
    </xf>
    <xf numFmtId="10" fontId="28" fillId="0" borderId="0" xfId="95" applyNumberFormat="1" applyFont="1" applyFill="1" applyBorder="1" applyAlignment="1" applyProtection="1">
      <alignment horizontal="center" vertical="center"/>
      <protection locked="0"/>
    </xf>
    <xf numFmtId="0" fontId="21" fillId="0" borderId="11" xfId="91" applyFont="1" applyFill="1" applyBorder="1" applyAlignment="1" applyProtection="1">
      <alignment horizontal="left" vertical="top"/>
      <protection/>
    </xf>
    <xf numFmtId="0" fontId="21" fillId="0" borderId="0" xfId="91" applyFont="1" applyFill="1" applyBorder="1" applyAlignment="1" applyProtection="1">
      <alignment horizontal="left" vertical="top"/>
      <protection/>
    </xf>
    <xf numFmtId="0" fontId="21" fillId="0" borderId="12" xfId="91" applyFont="1" applyFill="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21" fillId="0" borderId="11"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21" fillId="0" borderId="0" xfId="91" applyFont="1" applyBorder="1" applyAlignment="1" applyProtection="1">
      <alignment horizontal="left" vertical="top"/>
      <protection/>
    </xf>
    <xf numFmtId="49" fontId="0" fillId="22" borderId="0" xfId="0" applyNumberFormat="1" applyFont="1" applyFill="1" applyBorder="1" applyAlignment="1" applyProtection="1">
      <alignment horizontal="left"/>
      <protection locked="0"/>
    </xf>
    <xf numFmtId="49" fontId="0" fillId="22" borderId="0" xfId="0" applyNumberForma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1"/>
      <protection/>
    </xf>
    <xf numFmtId="0" fontId="21" fillId="0" borderId="39"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0" fontId="20" fillId="20" borderId="17" xfId="0" applyFont="1" applyFill="1" applyBorder="1" applyAlignment="1" applyProtection="1">
      <alignment horizontal="center" vertical="center" wrapText="1"/>
      <protection/>
    </xf>
    <xf numFmtId="0" fontId="20" fillId="20" borderId="40"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0" fontId="35" fillId="0" borderId="11" xfId="91" applyFont="1" applyBorder="1" applyAlignment="1" applyProtection="1">
      <alignment horizontal="left" vertical="top"/>
      <protection/>
    </xf>
    <xf numFmtId="0" fontId="35" fillId="0" borderId="12" xfId="91" applyFont="1" applyBorder="1" applyAlignment="1" applyProtection="1">
      <alignment horizontal="left" vertical="top"/>
      <protection/>
    </xf>
    <xf numFmtId="14" fontId="0" fillId="22" borderId="18" xfId="95" applyNumberFormat="1" applyFon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ont="1" applyFill="1" applyBorder="1" applyAlignment="1" applyProtection="1">
      <alignment horizontal="center" vertical="top" wrapText="1"/>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10" fontId="0" fillId="22" borderId="18" xfId="95" applyNumberFormat="1" applyFon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18" xfId="0"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45" fillId="27" borderId="0" xfId="0" applyFont="1" applyFill="1" applyAlignment="1" applyProtection="1">
      <alignment horizontal="left" vertical="top" indent="2"/>
      <protection/>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167" fontId="0" fillId="0" borderId="18" xfId="95" applyNumberFormat="1" applyFont="1" applyFill="1" applyBorder="1" applyAlignment="1" applyProtection="1">
      <alignment horizontal="left" vertical="top" wrapText="1"/>
      <protection/>
    </xf>
    <xf numFmtId="167" fontId="0" fillId="0" borderId="13" xfId="95" applyNumberFormat="1" applyFon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10" fontId="0" fillId="0" borderId="18"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38" xfId="95" applyNumberFormat="1"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0" fontId="35" fillId="0" borderId="11" xfId="91" applyFont="1" applyFill="1" applyBorder="1" applyAlignment="1" applyProtection="1">
      <alignment horizontal="left" vertical="top"/>
      <protection/>
    </xf>
    <xf numFmtId="0" fontId="35" fillId="0" borderId="12" xfId="91" applyFont="1" applyFill="1" applyBorder="1" applyAlignment="1" applyProtection="1">
      <alignment horizontal="left" vertical="top"/>
      <protection/>
    </xf>
    <xf numFmtId="171" fontId="0" fillId="0" borderId="0" xfId="90" applyNumberFormat="1" applyFont="1" applyFill="1" applyBorder="1" applyAlignment="1" applyProtection="1">
      <alignment horizontal="left"/>
      <protection/>
    </xf>
    <xf numFmtId="0" fontId="41" fillId="0" borderId="0" xfId="90" applyFont="1" applyAlignment="1" applyProtection="1">
      <alignment horizontal="left" vertical="center" indent="1"/>
      <protection/>
    </xf>
    <xf numFmtId="0" fontId="0" fillId="0" borderId="14" xfId="90" applyFont="1" applyBorder="1" applyAlignment="1" applyProtection="1">
      <alignment horizontal="left" vertical="center" wrapText="1"/>
      <protection/>
    </xf>
    <xf numFmtId="0" fontId="36" fillId="0" borderId="0" xfId="90" applyFont="1" applyBorder="1" applyAlignment="1" applyProtection="1">
      <alignment horizontal="left" vertical="center" wrapText="1"/>
      <protection/>
    </xf>
    <xf numFmtId="2" fontId="31" fillId="0" borderId="17" xfId="90" applyNumberFormat="1" applyFont="1" applyFill="1" applyBorder="1" applyAlignment="1" applyProtection="1">
      <alignment horizontal="center" vertical="center"/>
      <protection/>
    </xf>
    <xf numFmtId="0" fontId="24" fillId="0" borderId="0" xfId="90" applyFont="1" applyBorder="1" applyAlignment="1" applyProtection="1">
      <alignment horizontal="left" vertical="center"/>
      <protection/>
    </xf>
    <xf numFmtId="0" fontId="0" fillId="0" borderId="0" xfId="90" applyFont="1" applyBorder="1" applyAlignment="1" applyProtection="1">
      <alignment horizontal="center" vertical="center"/>
      <protection/>
    </xf>
    <xf numFmtId="0" fontId="33" fillId="0" borderId="14" xfId="90" applyFont="1" applyBorder="1" applyAlignment="1" applyProtection="1">
      <alignment horizontal="center" vertical="center" wrapText="1"/>
      <protection/>
    </xf>
    <xf numFmtId="0" fontId="21" fillId="0" borderId="0" xfId="90" applyFont="1" applyBorder="1" applyAlignment="1" applyProtection="1">
      <alignment horizontal="left" vertical="center"/>
      <protection/>
    </xf>
    <xf numFmtId="49" fontId="0" fillId="22" borderId="32" xfId="90" applyNumberFormat="1" applyFont="1" applyFill="1" applyBorder="1" applyAlignment="1" applyProtection="1">
      <alignment horizontal="left" vertical="top" wrapText="1"/>
      <protection locked="0"/>
    </xf>
    <xf numFmtId="49" fontId="0" fillId="22" borderId="10" xfId="90" applyNumberFormat="1" applyFont="1" applyFill="1" applyBorder="1" applyAlignment="1" applyProtection="1">
      <alignment horizontal="left" vertical="top" wrapText="1"/>
      <protection locked="0"/>
    </xf>
    <xf numFmtId="49" fontId="0" fillId="22" borderId="19" xfId="90" applyNumberFormat="1" applyFont="1" applyFill="1" applyBorder="1" applyAlignment="1" applyProtection="1">
      <alignment horizontal="left" vertical="top" wrapText="1"/>
      <protection locked="0"/>
    </xf>
    <xf numFmtId="0" fontId="0" fillId="0" borderId="17" xfId="90" applyFont="1" applyBorder="1" applyAlignment="1" applyProtection="1">
      <alignment horizontal="center" vertical="center"/>
      <protection/>
    </xf>
    <xf numFmtId="49" fontId="0" fillId="0" borderId="0" xfId="90" applyNumberFormat="1" applyFont="1" applyFill="1" applyBorder="1" applyAlignment="1" applyProtection="1">
      <alignment horizontal="left"/>
      <protection locked="0"/>
    </xf>
    <xf numFmtId="0" fontId="43" fillId="0" borderId="0" xfId="90" applyFont="1" applyAlignment="1" applyProtection="1">
      <alignment horizontal="center" vertical="top" wrapText="1"/>
      <protection/>
    </xf>
    <xf numFmtId="171" fontId="0" fillId="0" borderId="13" xfId="90" applyNumberFormat="1" applyFont="1" applyFill="1" applyBorder="1" applyAlignment="1" applyProtection="1">
      <alignment horizontal="left"/>
      <protection/>
    </xf>
    <xf numFmtId="0" fontId="0" fillId="0" borderId="14" xfId="90" applyFont="1" applyBorder="1" applyAlignment="1" applyProtection="1">
      <alignment horizontal="left" vertical="center"/>
      <protection/>
    </xf>
    <xf numFmtId="0" fontId="24" fillId="0" borderId="14" xfId="90" applyFont="1" applyBorder="1" applyAlignment="1" applyProtection="1">
      <alignment horizontal="center" vertical="center"/>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68" fontId="0" fillId="0" borderId="13" xfId="90" applyNumberFormat="1" applyFont="1" applyBorder="1" applyAlignment="1" applyProtection="1">
      <alignment horizontal="left"/>
      <protection/>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Font="1" applyFill="1" applyBorder="1" applyAlignment="1" applyProtection="1">
      <alignment horizontal="center" vertical="top" wrapText="1"/>
      <protection/>
    </xf>
    <xf numFmtId="0" fontId="0" fillId="0" borderId="38" xfId="90" applyFont="1" applyFill="1" applyBorder="1" applyAlignment="1" applyProtection="1">
      <alignment horizontal="center" vertical="top" wrapText="1"/>
      <protection/>
    </xf>
    <xf numFmtId="0" fontId="0" fillId="0" borderId="18" xfId="90" applyFont="1" applyFill="1" applyBorder="1" applyAlignment="1" applyProtection="1">
      <alignment horizontal="left" vertical="top" wrapText="1"/>
      <protection/>
    </xf>
    <xf numFmtId="0" fontId="0" fillId="0" borderId="38" xfId="90" applyFont="1" applyFill="1" applyBorder="1" applyAlignment="1" applyProtection="1">
      <alignment horizontal="left" vertical="top" wrapText="1"/>
      <protection/>
    </xf>
    <xf numFmtId="49" fontId="0" fillId="0" borderId="18" xfId="90" applyNumberFormat="1" applyFont="1" applyFill="1" applyBorder="1" applyAlignment="1" applyProtection="1">
      <alignment horizontal="left" vertical="top" wrapText="1"/>
      <protection/>
    </xf>
    <xf numFmtId="0" fontId="0" fillId="0" borderId="13" xfId="90" applyNumberFormat="1" applyFont="1" applyFill="1" applyBorder="1" applyAlignment="1" applyProtection="1">
      <alignment horizontal="left" vertical="top" wrapText="1"/>
      <protection/>
    </xf>
    <xf numFmtId="0" fontId="0" fillId="0" borderId="38" xfId="90" applyNumberFormat="1" applyFont="1" applyFill="1" applyBorder="1" applyAlignment="1" applyProtection="1">
      <alignment horizontal="left" vertical="top" wrapText="1"/>
      <protection/>
    </xf>
    <xf numFmtId="0" fontId="1" fillId="0" borderId="16" xfId="87" applyNumberFormat="1" applyFont="1" applyFill="1" applyBorder="1" applyAlignment="1" applyProtection="1">
      <alignment horizontal="left" wrapText="1"/>
      <protection/>
    </xf>
    <xf numFmtId="0" fontId="1" fillId="0" borderId="14" xfId="90" applyFont="1" applyFill="1" applyBorder="1" applyAlignment="1" applyProtection="1">
      <alignment horizontal="left" wrapText="1"/>
      <protection/>
    </xf>
    <xf numFmtId="0" fontId="24" fillId="0" borderId="14" xfId="90" applyFont="1" applyFill="1" applyBorder="1" applyAlignment="1" applyProtection="1">
      <alignment horizontal="center" vertical="center"/>
      <protection/>
    </xf>
    <xf numFmtId="4" fontId="24" fillId="0" borderId="14" xfId="90" applyNumberFormat="1" applyFont="1" applyFill="1" applyBorder="1" applyAlignment="1" applyProtection="1">
      <alignment horizontal="center" vertical="center" wrapText="1"/>
      <protection/>
    </xf>
    <xf numFmtId="10" fontId="1" fillId="22" borderId="14" xfId="90" applyNumberFormat="1" applyFont="1" applyFill="1" applyBorder="1" applyAlignment="1" applyProtection="1">
      <alignment horizontal="center"/>
      <protection locked="0"/>
    </xf>
    <xf numFmtId="0" fontId="1" fillId="0" borderId="14" xfId="90" applyFont="1" applyFill="1" applyBorder="1" applyAlignment="1" applyProtection="1">
      <alignment horizontal="left"/>
      <protection/>
    </xf>
    <xf numFmtId="0" fontId="21" fillId="0" borderId="14" xfId="90" applyFont="1" applyFill="1" applyBorder="1" applyAlignment="1" applyProtection="1">
      <alignment horizontal="center" vertical="center"/>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0" fontId="28" fillId="0" borderId="0" xfId="0" applyFont="1" applyAlignment="1" applyProtection="1">
      <alignment horizontal="center" vertical="top" wrapTex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168"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170"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40"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0" fontId="1"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4"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Incorreto" xfId="83"/>
    <cellStyle name="Input" xfId="84"/>
    <cellStyle name="Linked Cell" xfId="85"/>
    <cellStyle name="Moeda 2" xfId="86"/>
    <cellStyle name="Moeda_Composicao BDI v2.1" xfId="87"/>
    <cellStyle name="Neutra"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s>
  <dxfs count="88">
    <dxf>
      <font>
        <b/>
        <i val="0"/>
      </font>
      <fill>
        <patternFill>
          <bgColor indexed="55"/>
        </patternFill>
      </fill>
      <border>
        <top style="thin"/>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2.emf" /><Relationship Id="rId6" Type="http://schemas.openxmlformats.org/officeDocument/2006/relationships/image" Target="../media/image1.emf" /></Relationships>
</file>

<file path=xl/drawings/_rels/drawing4.xml.rels><?xml version="1.0" encoding="utf-8" standalone="yes"?><Relationships xmlns="http://schemas.openxmlformats.org/package/2006/relationships"><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0.emf" /><Relationship Id="rId5" Type="http://schemas.openxmlformats.org/officeDocument/2006/relationships/image" Target="../media/image2.emf" /><Relationship Id="rId6" Type="http://schemas.openxmlformats.org/officeDocument/2006/relationships/image" Target="../media/image5.emf" /><Relationship Id="rId7"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1.emf" /><Relationship Id="rId4" Type="http://schemas.openxmlformats.org/officeDocument/2006/relationships/image" Target="../media/image2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25.emf" /><Relationship Id="rId5" Type="http://schemas.openxmlformats.org/officeDocument/2006/relationships/image" Target="../media/image22.emf" /><Relationship Id="rId6" Type="http://schemas.openxmlformats.org/officeDocument/2006/relationships/image" Target="../media/image25.emf" /><Relationship Id="rId7" Type="http://schemas.openxmlformats.org/officeDocument/2006/relationships/image" Target="../media/image2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23.emf" /><Relationship Id="rId7" Type="http://schemas.openxmlformats.org/officeDocument/2006/relationships/image" Target="../media/image24.emf" /><Relationship Id="rId8" Type="http://schemas.openxmlformats.org/officeDocument/2006/relationships/image" Target="../media/image20.emf" /><Relationship Id="rId9" Type="http://schemas.openxmlformats.org/officeDocument/2006/relationships/image" Target="../media/image21.emf" /><Relationship Id="rId10" Type="http://schemas.openxmlformats.org/officeDocument/2006/relationships/image" Target="../media/image23.emf" /><Relationship Id="rId11" Type="http://schemas.openxmlformats.org/officeDocument/2006/relationships/image" Target="../media/image24.emf" /><Relationship Id="rId12" Type="http://schemas.openxmlformats.org/officeDocument/2006/relationships/image" Target="../media/image20.emf" /><Relationship Id="rId13" Type="http://schemas.openxmlformats.org/officeDocument/2006/relationships/image" Target="../media/image2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7.emf" /><Relationship Id="rId6" Type="http://schemas.openxmlformats.org/officeDocument/2006/relationships/image" Target="../media/image1.emf" /><Relationship Id="rId7" Type="http://schemas.openxmlformats.org/officeDocument/2006/relationships/image" Target="../media/image18.emf" /><Relationship Id="rId8" Type="http://schemas.openxmlformats.org/officeDocument/2006/relationships/image" Target="../media/image19.emf" /><Relationship Id="rId9" Type="http://schemas.openxmlformats.org/officeDocument/2006/relationships/image" Target="../media/image20.emf" /><Relationship Id="rId10" Type="http://schemas.openxmlformats.org/officeDocument/2006/relationships/image" Target="../media/image21.emf" /><Relationship Id="rId11" Type="http://schemas.openxmlformats.org/officeDocument/2006/relationships/image" Target="../media/image22.emf" /><Relationship Id="rId12" Type="http://schemas.openxmlformats.org/officeDocument/2006/relationships/image" Target="../media/image18.emf" /><Relationship Id="rId13" Type="http://schemas.openxmlformats.org/officeDocument/2006/relationships/image" Target="../media/image19.emf" /><Relationship Id="rId14" Type="http://schemas.openxmlformats.org/officeDocument/2006/relationships/image" Target="../media/image20.emf" /><Relationship Id="rId15" Type="http://schemas.openxmlformats.org/officeDocument/2006/relationships/image" Target="../media/image21.emf" /><Relationship Id="rId16" Type="http://schemas.openxmlformats.org/officeDocument/2006/relationships/image" Target="../media/image20.emf" /><Relationship Id="rId17" Type="http://schemas.openxmlformats.org/officeDocument/2006/relationships/image" Target="../media/image21.emf" /><Relationship Id="rId18" Type="http://schemas.openxmlformats.org/officeDocument/2006/relationships/image" Target="../media/image22.emf" /><Relationship Id="rId19" Type="http://schemas.openxmlformats.org/officeDocument/2006/relationships/image" Target="../media/image21.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1.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image" Target="../media/image22.emf" /><Relationship Id="rId27"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156124" name="Object 476"/>
        <xdr:cNvPicPr preferRelativeResize="1">
          <a:picLocks noChangeAspect="1"/>
        </xdr:cNvPicPr>
      </xdr:nvPicPr>
      <xdr:blipFill>
        <a:blip r:embed="rId3"/>
        <a:stretch>
          <a:fillRect/>
        </a:stretch>
      </xdr:blipFill>
      <xdr:spPr bwMode="auto">
        <a:xfrm>
          <a:off x="28575" y="19050"/>
          <a:ext cx="1790700" cy="381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85899" name="Object 5675"/>
        <xdr:cNvPicPr preferRelativeResize="1">
          <a:picLocks noChangeAspect="1"/>
        </xdr:cNvPicPr>
      </xdr:nvPicPr>
      <xdr:blipFill>
        <a:blip r:embed="rId4"/>
        <a:stretch>
          <a:fillRect/>
        </a:stretch>
      </xdr:blipFill>
      <xdr:spPr bwMode="auto">
        <a:xfrm>
          <a:off x="638175" y="19050"/>
          <a:ext cx="1800225"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93696" name="Object 13472"/>
        <xdr:cNvPicPr preferRelativeResize="1">
          <a:picLocks noChangeAspect="1"/>
        </xdr:cNvPicPr>
      </xdr:nvPicPr>
      <xdr:blipFill>
        <a:blip r:embed="rId6"/>
        <a:stretch>
          <a:fillRect/>
        </a:stretch>
      </xdr:blipFill>
      <xdr:spPr bwMode="auto">
        <a:xfrm>
          <a:off x="876300" y="28575"/>
          <a:ext cx="1790700" cy="381000"/>
        </a:xfrm>
        <a:prstGeom prst="rect">
          <a:avLst/>
        </a:prstGeom>
        <a:noFill/>
        <a:ln>
          <a:noFill/>
        </a:ln>
      </xdr:spPr>
    </xdr:pic>
    <xdr:clientData/>
  </xdr:two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93474" name="Object 125890"/>
        <xdr:cNvPicPr preferRelativeResize="1">
          <a:picLocks noChangeAspect="1"/>
        </xdr:cNvPicPr>
      </xdr:nvPicPr>
      <xdr:blipFill>
        <a:blip r:embed="rId7"/>
        <a:stretch>
          <a:fillRect/>
        </a:stretch>
      </xdr:blipFill>
      <xdr:spPr bwMode="auto">
        <a:xfrm>
          <a:off x="57150" y="38100"/>
          <a:ext cx="1790700" cy="381000"/>
        </a:xfrm>
        <a:prstGeom prst="rect">
          <a:avLst/>
        </a:prstGeom>
        <a:noFill/>
        <a:ln>
          <a:noFill/>
        </a:ln>
      </xdr:spPr>
    </xdr:pic>
    <xdr:clientData/>
  </xdr:twoCellAnchor>
  <xdr:oneCellAnchor>
    <xdr:from>
      <xdr:col>11</xdr:col>
      <xdr:colOff>628650</xdr:colOff>
      <xdr:row>7</xdr:row>
      <xdr:rowOff>209550</xdr:rowOff>
    </xdr:from>
    <xdr:ext cx="1781175" cy="342900"/>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FFC000"/>
    <pageSetUpPr fitToPage="1"/>
  </sheetPr>
  <dimension ref="A1:Y257"/>
  <sheetViews>
    <sheetView showGridLines="0" zoomScaleSheetLayoutView="100" workbookViewId="0" topLeftCell="A1">
      <selection activeCell="N42" sqref="N42"/>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60" t="s">
        <v>2</v>
      </c>
      <c r="C1" s="260"/>
      <c r="D1" s="260"/>
      <c r="E1" s="260"/>
      <c r="F1" s="260"/>
      <c r="G1" s="260"/>
      <c r="H1" s="260"/>
      <c r="I1" s="260"/>
      <c r="J1" s="260"/>
      <c r="K1" s="260"/>
      <c r="L1" s="260"/>
      <c r="M1" s="260"/>
      <c r="N1" s="260"/>
      <c r="O1" s="260"/>
      <c r="P1" s="260"/>
      <c r="Q1" s="260"/>
      <c r="R1" s="260"/>
      <c r="S1" s="260"/>
      <c r="T1" s="260"/>
      <c r="U1" s="260"/>
      <c r="V1" s="260"/>
      <c r="W1" s="260"/>
      <c r="X1" s="261"/>
    </row>
    <row r="2" spans="1:24" ht="13.5" customHeight="1">
      <c r="A2" s="105" t="s">
        <v>228</v>
      </c>
      <c r="B2" s="262"/>
      <c r="C2" s="262"/>
      <c r="D2" s="262"/>
      <c r="E2" s="262"/>
      <c r="F2" s="262"/>
      <c r="G2" s="262"/>
      <c r="H2" s="262"/>
      <c r="I2" s="262"/>
      <c r="J2" s="262"/>
      <c r="K2" s="262"/>
      <c r="L2" s="262"/>
      <c r="M2" s="262"/>
      <c r="N2" s="262"/>
      <c r="O2" s="262"/>
      <c r="P2" s="262"/>
      <c r="Q2" s="262"/>
      <c r="R2" s="262"/>
      <c r="S2" s="262"/>
      <c r="T2" s="262"/>
      <c r="U2" s="262"/>
      <c r="V2" s="262"/>
      <c r="W2" s="262"/>
      <c r="X2" s="263"/>
    </row>
    <row r="3" spans="1:8" ht="13.5" customHeight="1">
      <c r="A3" s="1"/>
      <c r="B3" s="1"/>
      <c r="F3" s="1"/>
      <c r="G3" s="1"/>
      <c r="H3" s="1"/>
    </row>
    <row r="4" spans="1:24" s="21" customFormat="1" ht="12.75" customHeight="1">
      <c r="A4" s="280" t="s">
        <v>168</v>
      </c>
      <c r="B4" s="280"/>
      <c r="C4" s="280"/>
      <c r="D4" s="280"/>
      <c r="E4" s="280"/>
      <c r="F4" s="280"/>
      <c r="G4" s="280"/>
      <c r="H4" s="280"/>
      <c r="I4" s="280"/>
      <c r="J4" s="280"/>
      <c r="K4" s="280"/>
      <c r="L4" s="280"/>
      <c r="M4" s="280"/>
      <c r="N4" s="280"/>
      <c r="O4" s="280"/>
      <c r="P4" s="280"/>
      <c r="Q4" s="280"/>
      <c r="R4" s="280"/>
      <c r="S4" s="280"/>
      <c r="T4" s="280"/>
      <c r="U4" s="280"/>
      <c r="V4" s="280"/>
      <c r="W4" s="280"/>
      <c r="X4" s="280"/>
    </row>
    <row r="5" spans="1:8" s="21" customFormat="1" ht="12.75">
      <c r="A5" s="22"/>
      <c r="B5" s="22"/>
      <c r="F5" s="23"/>
      <c r="G5" s="23"/>
      <c r="H5" s="23"/>
    </row>
    <row r="6" spans="1:24" s="22" customFormat="1" ht="24.9" customHeight="1">
      <c r="A6" s="281" t="s">
        <v>179</v>
      </c>
      <c r="B6" s="282"/>
      <c r="C6" s="282"/>
      <c r="D6" s="282"/>
      <c r="E6" s="282"/>
      <c r="F6" s="282"/>
      <c r="G6" s="282"/>
      <c r="H6" s="282"/>
      <c r="I6" s="282"/>
      <c r="J6" s="282"/>
      <c r="K6" s="282"/>
      <c r="L6" s="282"/>
      <c r="M6" s="282"/>
      <c r="N6" s="282"/>
      <c r="O6" s="282"/>
      <c r="P6" s="282"/>
      <c r="Q6" s="282"/>
      <c r="R6" s="282"/>
      <c r="S6" s="282"/>
      <c r="T6" s="282"/>
      <c r="U6" s="282"/>
      <c r="V6" s="282"/>
      <c r="W6" s="282"/>
      <c r="X6" s="282"/>
    </row>
    <row r="7" spans="1:8" s="21" customFormat="1" ht="12.75" customHeight="1">
      <c r="A7" s="22"/>
      <c r="B7" s="22"/>
      <c r="F7" s="23"/>
      <c r="G7" s="23"/>
      <c r="H7" s="23"/>
    </row>
    <row r="8" spans="1:25" s="21" customFormat="1" ht="12.75" customHeight="1">
      <c r="A8" s="283" t="s">
        <v>23</v>
      </c>
      <c r="B8" s="283"/>
      <c r="C8" s="283"/>
      <c r="D8" s="283"/>
      <c r="E8" s="283"/>
      <c r="F8" s="283"/>
      <c r="G8" s="283"/>
      <c r="H8" s="283"/>
      <c r="I8" s="283"/>
      <c r="J8" s="283"/>
      <c r="K8" s="283"/>
      <c r="L8" s="283"/>
      <c r="M8" s="283"/>
      <c r="N8" s="283"/>
      <c r="O8" s="283"/>
      <c r="P8" s="283"/>
      <c r="Q8" s="283"/>
      <c r="R8" s="283"/>
      <c r="S8" s="283"/>
      <c r="T8" s="283"/>
      <c r="U8" s="283"/>
      <c r="V8" s="283"/>
      <c r="W8" s="283"/>
      <c r="X8" s="283"/>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57" t="s">
        <v>169</v>
      </c>
      <c r="B10" s="257"/>
      <c r="C10" s="257"/>
      <c r="D10" s="257"/>
      <c r="E10" s="257"/>
      <c r="F10" s="257"/>
      <c r="G10" s="257"/>
      <c r="H10" s="257"/>
      <c r="I10" s="257"/>
      <c r="J10" s="257"/>
      <c r="K10" s="257"/>
      <c r="L10" s="257"/>
      <c r="M10" s="257"/>
      <c r="N10" s="257"/>
      <c r="O10" s="257"/>
      <c r="P10" s="257"/>
      <c r="Q10" s="257"/>
      <c r="R10" s="257"/>
      <c r="S10" s="257"/>
      <c r="T10" s="257"/>
      <c r="U10" s="257"/>
      <c r="V10" s="257"/>
      <c r="W10" s="257"/>
      <c r="X10" s="257"/>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9" customHeight="1">
      <c r="A12" s="257" t="s">
        <v>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row>
    <row r="13" spans="1:8" s="21" customFormat="1" ht="12.75">
      <c r="A13" s="22"/>
      <c r="B13" s="22"/>
      <c r="F13" s="23"/>
      <c r="G13" s="23"/>
      <c r="H13" s="23"/>
    </row>
    <row r="14" spans="1:24" s="21" customFormat="1" ht="12.75">
      <c r="A14" s="284" t="s">
        <v>24</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row>
    <row r="15" spans="1:8" s="21" customFormat="1" ht="12.75">
      <c r="A15" s="22"/>
      <c r="B15" s="22"/>
      <c r="F15" s="23"/>
      <c r="G15" s="23"/>
      <c r="H15" s="23"/>
    </row>
    <row r="16" spans="1:24" s="21" customFormat="1" ht="12.75">
      <c r="A16" s="258" t="s">
        <v>186</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41" t="s">
        <v>187</v>
      </c>
      <c r="B18" s="241"/>
      <c r="C18" s="242"/>
      <c r="D18" s="242"/>
      <c r="E18" s="242"/>
      <c r="F18" s="242"/>
      <c r="G18" s="242"/>
      <c r="H18" s="242"/>
      <c r="I18" s="242"/>
      <c r="J18" s="242"/>
      <c r="K18" s="242"/>
      <c r="L18" s="242"/>
      <c r="M18" s="242"/>
      <c r="N18" s="242"/>
      <c r="O18" s="242"/>
      <c r="P18" s="242"/>
      <c r="Q18" s="242"/>
      <c r="R18" s="242"/>
      <c r="S18" s="242"/>
      <c r="T18" s="242"/>
      <c r="U18" s="242"/>
      <c r="V18" s="242"/>
      <c r="W18" s="242"/>
      <c r="X18" s="242"/>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58" t="s">
        <v>189</v>
      </c>
      <c r="B22" s="259"/>
      <c r="C22" s="259"/>
      <c r="D22" s="259"/>
      <c r="E22" s="259"/>
      <c r="F22" s="259"/>
      <c r="G22" s="259"/>
      <c r="H22" s="259"/>
      <c r="I22" s="259"/>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41" t="s">
        <v>190</v>
      </c>
      <c r="B24" s="241"/>
      <c r="C24" s="242"/>
      <c r="D24" s="242"/>
      <c r="E24" s="242"/>
      <c r="F24" s="242"/>
      <c r="G24" s="242"/>
      <c r="H24" s="242"/>
      <c r="I24" s="242"/>
      <c r="J24" s="242"/>
      <c r="K24" s="242"/>
      <c r="L24" s="242"/>
      <c r="M24" s="242"/>
      <c r="N24" s="242"/>
      <c r="O24" s="242"/>
      <c r="P24" s="242"/>
      <c r="Q24" s="242"/>
      <c r="R24" s="242"/>
      <c r="S24" s="242"/>
      <c r="T24" s="242"/>
      <c r="U24" s="242"/>
      <c r="V24" s="242"/>
      <c r="W24" s="242"/>
      <c r="X24" s="242"/>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37" t="s">
        <v>191</v>
      </c>
      <c r="B26" s="237"/>
      <c r="C26" s="238"/>
      <c r="D26" s="238"/>
      <c r="E26" s="238"/>
      <c r="F26" s="238"/>
      <c r="G26" s="238"/>
      <c r="H26" s="238"/>
      <c r="I26" s="238"/>
      <c r="J26" s="238"/>
      <c r="K26" s="238"/>
      <c r="L26" s="238"/>
      <c r="M26" s="238"/>
      <c r="N26" s="238"/>
      <c r="O26" s="238"/>
      <c r="P26" s="238"/>
      <c r="Q26" s="238"/>
      <c r="R26" s="238"/>
      <c r="S26" s="238"/>
      <c r="T26" s="238"/>
      <c r="U26" s="238"/>
      <c r="V26" s="238"/>
      <c r="W26" s="238"/>
      <c r="X26" s="238"/>
    </row>
    <row r="27" spans="1:8" s="21" customFormat="1" ht="6" customHeight="1">
      <c r="A27" s="25"/>
      <c r="B27" s="25"/>
      <c r="F27" s="23"/>
      <c r="G27" s="23"/>
      <c r="H27" s="23"/>
    </row>
    <row r="28" spans="1:24" ht="12.75" customHeight="1">
      <c r="A28" s="243" t="s">
        <v>177</v>
      </c>
      <c r="B28" s="244"/>
      <c r="C28" s="243" t="s">
        <v>170</v>
      </c>
      <c r="D28" s="252"/>
      <c r="E28" s="244"/>
      <c r="F28" s="243" t="s">
        <v>171</v>
      </c>
      <c r="G28" s="252"/>
      <c r="H28" s="252"/>
      <c r="I28" s="244"/>
      <c r="J28" s="243" t="s">
        <v>172</v>
      </c>
      <c r="K28" s="252"/>
      <c r="L28" s="252"/>
      <c r="M28" s="252"/>
      <c r="N28" s="252"/>
      <c r="O28" s="244"/>
      <c r="P28" s="243" t="s">
        <v>0</v>
      </c>
      <c r="Q28" s="252"/>
      <c r="R28" s="252"/>
      <c r="S28" s="252"/>
      <c r="T28" s="252"/>
      <c r="U28" s="252"/>
      <c r="V28" s="252"/>
      <c r="W28" s="252"/>
      <c r="X28" s="244"/>
    </row>
    <row r="29" spans="1:24" ht="12.75" customHeight="1">
      <c r="A29" s="245" t="s">
        <v>319</v>
      </c>
      <c r="B29" s="246"/>
      <c r="C29" s="245" t="s">
        <v>230</v>
      </c>
      <c r="D29" s="250"/>
      <c r="E29" s="251"/>
      <c r="F29" s="245" t="s">
        <v>231</v>
      </c>
      <c r="G29" s="291"/>
      <c r="H29" s="291"/>
      <c r="I29" s="246"/>
      <c r="J29" s="290"/>
      <c r="K29" s="291"/>
      <c r="L29" s="291"/>
      <c r="M29" s="291"/>
      <c r="N29" s="291"/>
      <c r="O29" s="246"/>
      <c r="P29" s="245" t="s">
        <v>320</v>
      </c>
      <c r="Q29" s="291"/>
      <c r="R29" s="291"/>
      <c r="S29" s="291"/>
      <c r="T29" s="291"/>
      <c r="U29" s="291"/>
      <c r="V29" s="291"/>
      <c r="W29" s="291"/>
      <c r="X29" s="246"/>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43" t="s">
        <v>173</v>
      </c>
      <c r="B31" s="252"/>
      <c r="C31" s="252"/>
      <c r="D31" s="252"/>
      <c r="E31" s="252"/>
      <c r="F31" s="244"/>
      <c r="G31" s="243" t="s">
        <v>174</v>
      </c>
      <c r="H31" s="252"/>
      <c r="I31" s="252"/>
      <c r="J31" s="244"/>
      <c r="K31" s="243" t="s">
        <v>175</v>
      </c>
      <c r="L31" s="252"/>
      <c r="M31" s="252"/>
      <c r="N31" s="252"/>
      <c r="O31" s="252"/>
      <c r="P31" s="244"/>
      <c r="Q31" s="243" t="s">
        <v>180</v>
      </c>
      <c r="R31" s="252"/>
      <c r="S31" s="252"/>
      <c r="T31" s="252"/>
      <c r="U31" s="252"/>
      <c r="V31" s="252"/>
      <c r="W31" s="252"/>
      <c r="X31" s="244"/>
    </row>
    <row r="32" spans="1:24" ht="12.75">
      <c r="A32" s="255" t="s">
        <v>252</v>
      </c>
      <c r="B32" s="293"/>
      <c r="C32" s="293"/>
      <c r="D32" s="293"/>
      <c r="E32" s="293"/>
      <c r="F32" s="294"/>
      <c r="G32" s="245" t="s">
        <v>253</v>
      </c>
      <c r="H32" s="250"/>
      <c r="I32" s="250"/>
      <c r="J32" s="251"/>
      <c r="K32" s="245" t="s">
        <v>254</v>
      </c>
      <c r="L32" s="291"/>
      <c r="M32" s="291"/>
      <c r="N32" s="291"/>
      <c r="O32" s="291"/>
      <c r="P32" s="246"/>
      <c r="Q32" s="245" t="s">
        <v>255</v>
      </c>
      <c r="R32" s="291"/>
      <c r="S32" s="291"/>
      <c r="T32" s="291"/>
      <c r="U32" s="291"/>
      <c r="V32" s="291"/>
      <c r="W32" s="291"/>
      <c r="X32" s="246"/>
    </row>
    <row r="33" spans="1:8" s="21" customFormat="1" ht="9" customHeight="1">
      <c r="A33" s="22"/>
      <c r="B33" s="22"/>
      <c r="F33" s="23"/>
      <c r="G33" s="23"/>
      <c r="H33" s="23"/>
    </row>
    <row r="34" s="27" customFormat="1" ht="12.75"/>
    <row r="35" spans="1:24" s="21" customFormat="1" ht="12.75" customHeight="1">
      <c r="A35" s="237" t="s">
        <v>192</v>
      </c>
      <c r="B35" s="237"/>
      <c r="C35" s="238"/>
      <c r="D35" s="238"/>
      <c r="E35" s="238"/>
      <c r="F35" s="238"/>
      <c r="G35" s="238"/>
      <c r="H35" s="238"/>
      <c r="I35" s="238"/>
      <c r="J35" s="238"/>
      <c r="K35" s="238"/>
      <c r="L35" s="238"/>
      <c r="M35" s="238"/>
      <c r="N35" s="238"/>
      <c r="O35" s="238"/>
      <c r="P35" s="238"/>
      <c r="Q35" s="238"/>
      <c r="R35" s="238"/>
      <c r="S35" s="238"/>
      <c r="T35" s="238"/>
      <c r="U35" s="238"/>
      <c r="V35" s="238"/>
      <c r="W35" s="238"/>
      <c r="X35" s="238"/>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3" t="s">
        <v>16</v>
      </c>
      <c r="B37" s="244"/>
      <c r="C37" s="92" t="s">
        <v>91</v>
      </c>
      <c r="D37" s="243" t="s">
        <v>14</v>
      </c>
      <c r="E37" s="252"/>
      <c r="F37" s="244"/>
      <c r="G37" s="243" t="s">
        <v>12</v>
      </c>
      <c r="H37" s="252"/>
      <c r="I37" s="252"/>
      <c r="J37" s="252"/>
      <c r="K37" s="252"/>
      <c r="L37" s="252"/>
      <c r="M37" s="252"/>
      <c r="N37" s="252"/>
      <c r="O37" s="252"/>
      <c r="P37" s="252"/>
      <c r="Q37" s="252"/>
      <c r="R37" s="252"/>
      <c r="S37" s="244"/>
      <c r="T37" s="93" t="s">
        <v>7</v>
      </c>
      <c r="U37" s="93" t="s">
        <v>8</v>
      </c>
      <c r="V37" s="93" t="s">
        <v>9</v>
      </c>
      <c r="W37" s="93" t="s">
        <v>10</v>
      </c>
      <c r="X37" s="93" t="s">
        <v>11</v>
      </c>
    </row>
    <row r="38" spans="1:24" s="21" customFormat="1" ht="12.75" customHeight="1">
      <c r="A38" s="278">
        <v>42826</v>
      </c>
      <c r="B38" s="279"/>
      <c r="C38" s="91" t="s">
        <v>256</v>
      </c>
      <c r="D38" s="245" t="s">
        <v>69</v>
      </c>
      <c r="E38" s="250"/>
      <c r="F38" s="251"/>
      <c r="G38" s="245"/>
      <c r="H38" s="250"/>
      <c r="I38" s="250"/>
      <c r="J38" s="250"/>
      <c r="K38" s="250"/>
      <c r="L38" s="250"/>
      <c r="M38" s="250"/>
      <c r="N38" s="250"/>
      <c r="O38" s="250"/>
      <c r="P38" s="250"/>
      <c r="Q38" s="250"/>
      <c r="R38" s="250"/>
      <c r="S38" s="251"/>
      <c r="T38" s="95">
        <f ca="1">IF(ISERROR(INDIRECT("'BDI ("&amp;RIGHT(T37,1)&amp;")'!N27")),"",INDIRECT("'BDI ("&amp;RIGHT(T37,1)&amp;")'!N27"))</f>
        <v>0.2009</v>
      </c>
      <c r="U38" s="96" t="str">
        <f ca="1">IF(ISERROR(INDIRECT("'BDI ("&amp;RIGHT(U37,1)&amp;")'!N27")),"",INDIRECT("'BDI ("&amp;RIGHT(U37,1)&amp;")'!N27"))</f>
        <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37" t="s">
        <v>162</v>
      </c>
      <c r="B40" s="237"/>
      <c r="C40" s="238"/>
      <c r="D40" s="238"/>
      <c r="E40" s="238"/>
      <c r="F40" s="238"/>
      <c r="G40" s="238"/>
      <c r="H40" s="238"/>
      <c r="I40" s="238"/>
      <c r="J40" s="238"/>
      <c r="K40" s="238"/>
      <c r="L40" s="238"/>
      <c r="M40" s="238"/>
      <c r="N40" s="238"/>
      <c r="O40" s="238"/>
      <c r="P40" s="238"/>
      <c r="Q40" s="238"/>
      <c r="R40" s="238"/>
      <c r="S40" s="238"/>
      <c r="T40" s="238"/>
      <c r="U40" s="238"/>
      <c r="V40" s="238"/>
      <c r="W40" s="238"/>
      <c r="X40" s="238"/>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3" t="s">
        <v>87</v>
      </c>
      <c r="B42" s="244"/>
      <c r="C42" s="243" t="s">
        <v>111</v>
      </c>
      <c r="D42" s="252"/>
      <c r="E42" s="252"/>
      <c r="F42" s="252"/>
      <c r="G42" s="252"/>
      <c r="H42" s="243" t="s">
        <v>16</v>
      </c>
      <c r="I42" s="252"/>
      <c r="J42" s="28" t="s">
        <v>91</v>
      </c>
      <c r="K42" s="243" t="s">
        <v>88</v>
      </c>
      <c r="L42" s="252"/>
      <c r="M42" s="244"/>
      <c r="N42" s="28" t="s">
        <v>92</v>
      </c>
      <c r="O42" s="243" t="s">
        <v>93</v>
      </c>
      <c r="P42" s="252"/>
      <c r="Q42" s="252"/>
      <c r="R42" s="252"/>
      <c r="S42" s="252"/>
      <c r="T42" s="244"/>
      <c r="U42" s="264" t="s">
        <v>89</v>
      </c>
      <c r="V42" s="265"/>
      <c r="W42" s="264" t="s">
        <v>90</v>
      </c>
      <c r="X42" s="265"/>
    </row>
    <row r="43" spans="1:24" s="21" customFormat="1" ht="12.75" customHeight="1">
      <c r="A43" s="255"/>
      <c r="B43" s="256"/>
      <c r="C43" s="245"/>
      <c r="D43" s="250"/>
      <c r="E43" s="250"/>
      <c r="F43" s="250"/>
      <c r="G43" s="250"/>
      <c r="H43" s="278"/>
      <c r="I43" s="279"/>
      <c r="J43" s="88"/>
      <c r="K43" s="275"/>
      <c r="L43" s="276"/>
      <c r="M43" s="277"/>
      <c r="N43" s="104"/>
      <c r="O43" s="268"/>
      <c r="P43" s="269"/>
      <c r="Q43" s="269"/>
      <c r="R43" s="270"/>
      <c r="S43" s="270"/>
      <c r="T43" s="271"/>
      <c r="U43" s="266"/>
      <c r="V43" s="272"/>
      <c r="W43" s="266"/>
      <c r="X43" s="267"/>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37" t="s">
        <v>193</v>
      </c>
      <c r="B45" s="237"/>
      <c r="C45" s="238"/>
      <c r="D45" s="238"/>
      <c r="E45" s="238"/>
      <c r="F45" s="238"/>
      <c r="G45" s="238"/>
      <c r="H45" s="238"/>
      <c r="I45" s="238"/>
      <c r="J45" s="238"/>
      <c r="K45" s="238"/>
      <c r="L45" s="238"/>
      <c r="M45" s="238"/>
      <c r="N45" s="238"/>
      <c r="O45" s="238"/>
      <c r="P45" s="238"/>
      <c r="Q45" s="238"/>
      <c r="R45" s="238"/>
      <c r="S45" s="238"/>
      <c r="T45" s="238"/>
      <c r="U45" s="238"/>
      <c r="V45" s="238"/>
      <c r="W45" s="238"/>
      <c r="X45" s="238"/>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87">
        <v>42979</v>
      </c>
      <c r="B48" s="288"/>
      <c r="C48" s="289"/>
      <c r="E48" s="37"/>
    </row>
    <row r="49" spans="1:8" s="21" customFormat="1" ht="12.75">
      <c r="A49" s="22"/>
      <c r="B49" s="22"/>
      <c r="F49" s="33"/>
      <c r="G49" s="34"/>
      <c r="H49" s="35"/>
    </row>
    <row r="50" spans="1:24" s="21" customFormat="1" ht="12.75">
      <c r="A50" s="237" t="s">
        <v>194</v>
      </c>
      <c r="B50" s="237"/>
      <c r="C50" s="238"/>
      <c r="D50" s="238"/>
      <c r="E50" s="238"/>
      <c r="F50" s="238"/>
      <c r="G50" s="238"/>
      <c r="H50" s="238"/>
      <c r="I50" s="238"/>
      <c r="J50" s="238"/>
      <c r="K50" s="238"/>
      <c r="L50" s="238"/>
      <c r="M50" s="238"/>
      <c r="N50" s="238"/>
      <c r="O50" s="238"/>
      <c r="P50" s="238"/>
      <c r="Q50" s="238"/>
      <c r="R50" s="238"/>
      <c r="S50" s="238"/>
      <c r="T50" s="238"/>
      <c r="U50" s="238"/>
      <c r="V50" s="238"/>
      <c r="W50" s="238"/>
      <c r="X50" s="238"/>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251</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73"/>
      <c r="C54" s="274"/>
      <c r="D54" s="274"/>
      <c r="E54" s="274"/>
      <c r="F54" s="33"/>
      <c r="G54" s="101" t="s">
        <v>140</v>
      </c>
      <c r="H54" s="274"/>
      <c r="I54" s="274"/>
      <c r="J54" s="274"/>
      <c r="K54" s="274"/>
      <c r="L54" s="2"/>
      <c r="M54"/>
      <c r="N54"/>
      <c r="O54"/>
      <c r="P54"/>
      <c r="Q54"/>
      <c r="R54"/>
      <c r="S54"/>
      <c r="T54"/>
      <c r="U54"/>
      <c r="V54"/>
      <c r="W54"/>
      <c r="X54"/>
    </row>
    <row r="55" spans="1:24" s="21" customFormat="1" ht="12.75">
      <c r="A55" s="101" t="str">
        <f>IF(OR(TipoOrçamento="BASE",TipoOrçamento="REPROGRAMADONPL"),"Título:","Cargo:")</f>
        <v>Cargo:</v>
      </c>
      <c r="B55" s="273"/>
      <c r="C55" s="274"/>
      <c r="D55" s="274"/>
      <c r="E55" s="274"/>
      <c r="F55" s="33"/>
      <c r="G55" s="101" t="str">
        <f>A55</f>
        <v>Cargo:</v>
      </c>
      <c r="H55" s="274"/>
      <c r="I55" s="274"/>
      <c r="J55" s="274"/>
      <c r="K55" s="274"/>
      <c r="L55" s="2"/>
      <c r="M55"/>
      <c r="N55"/>
      <c r="O55"/>
      <c r="P55"/>
      <c r="Q55"/>
      <c r="R55"/>
      <c r="S55"/>
      <c r="T55"/>
      <c r="U55"/>
      <c r="V55"/>
      <c r="W55"/>
      <c r="X55"/>
    </row>
    <row r="56" spans="1:24" s="21" customFormat="1" ht="12.75">
      <c r="A56" s="101" t="str">
        <f>IF(OR(TipoOrçamento="BASE",TipoOrçamento="REPROGRAMADONPL"),"CREA/CAU:","Empresa:")</f>
        <v>Empresa:</v>
      </c>
      <c r="B56" s="253"/>
      <c r="C56" s="254"/>
      <c r="D56" s="254"/>
      <c r="E56" s="254"/>
      <c r="F56" s="33"/>
      <c r="G56" s="101" t="str">
        <f>A56</f>
        <v>Empresa:</v>
      </c>
      <c r="H56" s="254"/>
      <c r="I56" s="254"/>
      <c r="J56" s="254"/>
      <c r="K56" s="254"/>
      <c r="L56" s="2"/>
      <c r="M56"/>
      <c r="N56"/>
      <c r="O56"/>
      <c r="P56"/>
      <c r="Q56"/>
      <c r="R56"/>
      <c r="S56"/>
      <c r="T56"/>
      <c r="U56"/>
      <c r="V56"/>
      <c r="W56"/>
      <c r="X56"/>
    </row>
    <row r="57" spans="1:24" s="21" customFormat="1" ht="12.75">
      <c r="A57" s="101" t="str">
        <f>IF(OR(TipoOrçamento="BASE",TipoOrçamento="REPROGRAMADONPL"),"ART/RRT:","CNPJ:")</f>
        <v>CNPJ:</v>
      </c>
      <c r="B57" s="253"/>
      <c r="C57" s="254"/>
      <c r="D57" s="254"/>
      <c r="E57" s="254"/>
      <c r="F57" s="33"/>
      <c r="G57" s="101" t="str">
        <f>A57</f>
        <v>CNPJ:</v>
      </c>
      <c r="H57" s="254"/>
      <c r="I57" s="254"/>
      <c r="J57" s="254"/>
      <c r="K57" s="254"/>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41" t="s">
        <v>195</v>
      </c>
      <c r="B60" s="241"/>
      <c r="C60" s="242"/>
      <c r="D60" s="242"/>
      <c r="E60" s="242"/>
      <c r="F60" s="242"/>
      <c r="G60" s="242"/>
      <c r="H60" s="242"/>
      <c r="I60" s="242"/>
      <c r="J60" s="242"/>
      <c r="K60" s="242"/>
      <c r="L60" s="242"/>
      <c r="M60" s="242"/>
      <c r="N60" s="242"/>
      <c r="O60" s="242"/>
      <c r="P60" s="242"/>
      <c r="Q60" s="242"/>
      <c r="R60" s="242"/>
      <c r="S60" s="242"/>
      <c r="T60" s="242"/>
      <c r="U60" s="242"/>
      <c r="V60" s="242"/>
      <c r="W60" s="242"/>
      <c r="X60" s="242"/>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47" t="s">
        <v>196</v>
      </c>
      <c r="B62" s="248"/>
      <c r="C62" s="249"/>
      <c r="D62" s="249"/>
      <c r="E62" s="249"/>
      <c r="F62" s="249"/>
      <c r="G62" s="249"/>
      <c r="H62" s="249"/>
      <c r="I62" s="249"/>
      <c r="J62" s="249"/>
      <c r="K62" s="249"/>
      <c r="L62" s="249"/>
      <c r="M62" s="249"/>
      <c r="N62" s="249"/>
      <c r="O62" s="249"/>
      <c r="P62" s="249"/>
      <c r="Q62" s="249"/>
      <c r="R62" s="249"/>
      <c r="S62" s="249"/>
      <c r="T62" s="249"/>
      <c r="U62" s="249"/>
      <c r="V62" s="249"/>
      <c r="W62" s="249"/>
      <c r="X62" s="249"/>
    </row>
    <row r="63" spans="1:24" s="21" customFormat="1" ht="30" customHeight="1">
      <c r="A63" s="247" t="s">
        <v>197</v>
      </c>
      <c r="B63" s="247"/>
      <c r="C63" s="292"/>
      <c r="D63" s="292"/>
      <c r="E63" s="292"/>
      <c r="F63" s="292"/>
      <c r="G63" s="292"/>
      <c r="H63" s="292"/>
      <c r="I63" s="292"/>
      <c r="J63" s="292"/>
      <c r="K63" s="292"/>
      <c r="L63" s="292"/>
      <c r="M63" s="292"/>
      <c r="N63" s="292"/>
      <c r="O63" s="292"/>
      <c r="P63" s="292"/>
      <c r="Q63" s="292"/>
      <c r="R63" s="292"/>
      <c r="S63" s="292"/>
      <c r="T63" s="292"/>
      <c r="U63" s="292"/>
      <c r="V63" s="292"/>
      <c r="W63" s="292"/>
      <c r="X63" s="292"/>
    </row>
    <row r="64" spans="1:24" s="21" customFormat="1" ht="12.75">
      <c r="A64" s="22"/>
      <c r="B64" s="22"/>
      <c r="F64" s="33"/>
      <c r="G64" s="34"/>
      <c r="H64" s="35"/>
      <c r="M64"/>
      <c r="N64"/>
      <c r="O64"/>
      <c r="P64"/>
      <c r="Q64"/>
      <c r="R64"/>
      <c r="S64"/>
      <c r="T64"/>
      <c r="U64"/>
      <c r="V64"/>
      <c r="W64"/>
      <c r="X64"/>
    </row>
    <row r="65" spans="1:24" s="21" customFormat="1" ht="12.75" customHeight="1">
      <c r="A65" s="241" t="s">
        <v>198</v>
      </c>
      <c r="B65" s="241"/>
      <c r="C65" s="242"/>
      <c r="D65" s="242"/>
      <c r="E65" s="242"/>
      <c r="F65" s="242"/>
      <c r="G65" s="242"/>
      <c r="H65" s="242"/>
      <c r="I65" s="242"/>
      <c r="J65" s="242"/>
      <c r="K65" s="242"/>
      <c r="L65" s="242"/>
      <c r="M65" s="242"/>
      <c r="N65" s="242"/>
      <c r="O65" s="242"/>
      <c r="P65" s="242"/>
      <c r="Q65" s="242"/>
      <c r="R65" s="242"/>
      <c r="S65" s="242"/>
      <c r="T65" s="242"/>
      <c r="U65" s="242"/>
      <c r="V65" s="242"/>
      <c r="W65" s="242"/>
      <c r="X65" s="242"/>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37" t="s">
        <v>199</v>
      </c>
      <c r="B67" s="237"/>
      <c r="C67" s="238"/>
      <c r="D67" s="238"/>
      <c r="E67" s="238"/>
      <c r="F67" s="238"/>
      <c r="G67" s="238"/>
      <c r="H67" s="238"/>
      <c r="I67" s="238"/>
      <c r="J67" s="238"/>
      <c r="K67" s="238"/>
      <c r="L67" s="238"/>
      <c r="M67" s="238"/>
      <c r="N67" s="238"/>
      <c r="O67" s="238"/>
      <c r="P67" s="238"/>
      <c r="Q67" s="238"/>
      <c r="R67" s="238"/>
      <c r="S67" s="238"/>
      <c r="T67" s="238"/>
      <c r="U67" s="238"/>
      <c r="V67" s="238"/>
      <c r="W67" s="238"/>
      <c r="X67" s="238"/>
    </row>
    <row r="68" spans="1:24" s="21" customFormat="1" ht="12.75">
      <c r="A68" s="237" t="s">
        <v>200</v>
      </c>
      <c r="B68" s="237"/>
      <c r="C68" s="238"/>
      <c r="D68" s="238"/>
      <c r="E68" s="238"/>
      <c r="F68" s="238"/>
      <c r="G68" s="238"/>
      <c r="H68" s="238"/>
      <c r="I68" s="238"/>
      <c r="J68" s="238"/>
      <c r="K68" s="238"/>
      <c r="L68" s="238"/>
      <c r="M68" s="238"/>
      <c r="N68" s="238"/>
      <c r="O68" s="238"/>
      <c r="P68" s="238"/>
      <c r="Q68" s="238"/>
      <c r="R68" s="238"/>
      <c r="S68" s="238"/>
      <c r="T68" s="238"/>
      <c r="U68" s="238"/>
      <c r="V68" s="238"/>
      <c r="W68" s="238"/>
      <c r="X68" s="238"/>
    </row>
    <row r="69" spans="1:24" s="21" customFormat="1" ht="12.75" customHeight="1">
      <c r="A69" s="237" t="s">
        <v>201</v>
      </c>
      <c r="B69" s="237"/>
      <c r="C69" s="238"/>
      <c r="D69" s="238"/>
      <c r="E69" s="238"/>
      <c r="F69" s="238"/>
      <c r="G69" s="238"/>
      <c r="H69" s="238"/>
      <c r="I69" s="238"/>
      <c r="J69" s="238"/>
      <c r="K69" s="238"/>
      <c r="L69" s="238"/>
      <c r="M69" s="238"/>
      <c r="N69" s="238"/>
      <c r="O69" s="238"/>
      <c r="P69" s="238"/>
      <c r="Q69" s="238"/>
      <c r="R69" s="238"/>
      <c r="S69" s="238"/>
      <c r="T69" s="238"/>
      <c r="U69" s="238"/>
      <c r="V69" s="238"/>
      <c r="W69" s="238"/>
      <c r="X69" s="238"/>
    </row>
    <row r="70" spans="1:24" s="21" customFormat="1" ht="12.75" customHeight="1">
      <c r="A70" s="237" t="s">
        <v>202</v>
      </c>
      <c r="B70" s="237"/>
      <c r="C70" s="238"/>
      <c r="D70" s="238"/>
      <c r="E70" s="238"/>
      <c r="F70" s="238"/>
      <c r="G70" s="238"/>
      <c r="H70" s="238"/>
      <c r="I70" s="238"/>
      <c r="J70" s="238"/>
      <c r="K70" s="238"/>
      <c r="L70" s="238"/>
      <c r="M70" s="238"/>
      <c r="N70" s="238"/>
      <c r="O70" s="238"/>
      <c r="P70" s="238"/>
      <c r="Q70" s="238"/>
      <c r="R70" s="238"/>
      <c r="S70" s="238"/>
      <c r="T70" s="238"/>
      <c r="U70" s="238"/>
      <c r="V70" s="238"/>
      <c r="W70" s="238"/>
      <c r="X70" s="238"/>
    </row>
    <row r="71" spans="1:24" s="21" customFormat="1" ht="12.75" customHeight="1">
      <c r="A71" s="237" t="s">
        <v>203</v>
      </c>
      <c r="B71" s="237"/>
      <c r="C71" s="238"/>
      <c r="D71" s="238"/>
      <c r="E71" s="238"/>
      <c r="F71" s="238"/>
      <c r="G71" s="238"/>
      <c r="H71" s="238"/>
      <c r="I71" s="238"/>
      <c r="J71" s="238"/>
      <c r="K71" s="238"/>
      <c r="L71" s="238"/>
      <c r="M71" s="238"/>
      <c r="N71" s="238"/>
      <c r="O71" s="238"/>
      <c r="P71" s="238"/>
      <c r="Q71" s="238"/>
      <c r="R71" s="238"/>
      <c r="S71" s="238"/>
      <c r="T71" s="238"/>
      <c r="U71" s="238"/>
      <c r="V71" s="238"/>
      <c r="W71" s="238"/>
      <c r="X71" s="238"/>
    </row>
    <row r="72" spans="1:24" s="21" customFormat="1" ht="12.75" customHeight="1">
      <c r="A72" s="237" t="s">
        <v>204</v>
      </c>
      <c r="B72" s="237"/>
      <c r="C72" s="238"/>
      <c r="D72" s="238"/>
      <c r="E72" s="238"/>
      <c r="F72" s="238"/>
      <c r="G72" s="238"/>
      <c r="H72" s="238"/>
      <c r="I72" s="238"/>
      <c r="J72" s="238"/>
      <c r="K72" s="238"/>
      <c r="L72" s="238"/>
      <c r="M72" s="238"/>
      <c r="N72" s="238"/>
      <c r="O72" s="238"/>
      <c r="P72" s="238"/>
      <c r="Q72" s="238"/>
      <c r="R72" s="238"/>
      <c r="S72" s="238"/>
      <c r="T72" s="238"/>
      <c r="U72" s="238"/>
      <c r="V72" s="238"/>
      <c r="W72" s="238"/>
      <c r="X72" s="238"/>
    </row>
    <row r="73" spans="1:8" s="21" customFormat="1" ht="12.75">
      <c r="A73" s="22"/>
      <c r="B73" s="22"/>
      <c r="F73" s="33"/>
      <c r="G73" s="34"/>
      <c r="H73" s="35"/>
    </row>
    <row r="74" spans="1:24" s="21" customFormat="1" ht="12.75" customHeight="1">
      <c r="A74" s="241" t="s">
        <v>205</v>
      </c>
      <c r="B74" s="241"/>
      <c r="C74" s="242"/>
      <c r="D74" s="242"/>
      <c r="E74" s="242"/>
      <c r="F74" s="242"/>
      <c r="G74" s="242"/>
      <c r="H74" s="242"/>
      <c r="I74" s="242"/>
      <c r="J74" s="242"/>
      <c r="K74" s="242"/>
      <c r="L74" s="242"/>
      <c r="M74" s="242"/>
      <c r="N74" s="242"/>
      <c r="O74" s="242"/>
      <c r="P74" s="242"/>
      <c r="Q74" s="242"/>
      <c r="R74" s="242"/>
      <c r="S74" s="242"/>
      <c r="T74" s="242"/>
      <c r="U74" s="242"/>
      <c r="V74" s="242"/>
      <c r="W74" s="242"/>
      <c r="X74" s="242"/>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37" t="s">
        <v>206</v>
      </c>
      <c r="B76" s="237"/>
      <c r="C76" s="238"/>
      <c r="D76" s="238"/>
      <c r="E76" s="238"/>
      <c r="F76" s="238"/>
      <c r="G76" s="238"/>
      <c r="H76" s="238"/>
      <c r="I76" s="238"/>
      <c r="J76" s="238"/>
      <c r="K76" s="238"/>
      <c r="L76" s="238"/>
      <c r="M76" s="238"/>
      <c r="N76" s="238"/>
      <c r="O76" s="238"/>
      <c r="P76" s="238"/>
      <c r="Q76" s="238"/>
      <c r="R76" s="238"/>
      <c r="S76" s="238"/>
      <c r="T76" s="238"/>
      <c r="U76" s="238"/>
      <c r="V76" s="238"/>
      <c r="W76" s="238"/>
      <c r="X76" s="238"/>
    </row>
    <row r="77" spans="1:24" s="21" customFormat="1" ht="26.1" customHeight="1">
      <c r="A77" s="239" t="s">
        <v>207</v>
      </c>
      <c r="B77" s="239"/>
      <c r="C77" s="240"/>
      <c r="D77" s="240"/>
      <c r="E77" s="240"/>
      <c r="F77" s="240"/>
      <c r="G77" s="240"/>
      <c r="H77" s="240"/>
      <c r="I77" s="240"/>
      <c r="J77" s="240"/>
      <c r="K77" s="240"/>
      <c r="L77" s="240"/>
      <c r="M77" s="240"/>
      <c r="N77" s="240"/>
      <c r="O77" s="240"/>
      <c r="P77" s="240"/>
      <c r="Q77" s="240"/>
      <c r="R77" s="240"/>
      <c r="S77" s="240"/>
      <c r="T77" s="240"/>
      <c r="U77" s="240"/>
      <c r="V77" s="240"/>
      <c r="W77" s="240"/>
      <c r="X77" s="240"/>
    </row>
    <row r="78" spans="1:24" s="21" customFormat="1" ht="12.75" customHeight="1">
      <c r="A78" s="237" t="s">
        <v>208</v>
      </c>
      <c r="B78" s="237"/>
      <c r="C78" s="238"/>
      <c r="D78" s="238"/>
      <c r="E78" s="238"/>
      <c r="F78" s="238"/>
      <c r="G78" s="238"/>
      <c r="H78" s="238"/>
      <c r="I78" s="238"/>
      <c r="J78" s="238"/>
      <c r="K78" s="238"/>
      <c r="L78" s="238"/>
      <c r="M78" s="238"/>
      <c r="N78" s="238"/>
      <c r="O78" s="238"/>
      <c r="P78" s="238"/>
      <c r="Q78" s="238"/>
      <c r="R78" s="238"/>
      <c r="S78" s="238"/>
      <c r="T78" s="238"/>
      <c r="U78" s="238"/>
      <c r="V78" s="238"/>
      <c r="W78" s="238"/>
      <c r="X78" s="238"/>
    </row>
    <row r="79" spans="1:24" s="21" customFormat="1" ht="25.5" customHeight="1">
      <c r="A79" s="237" t="s">
        <v>209</v>
      </c>
      <c r="B79" s="237"/>
      <c r="C79" s="238"/>
      <c r="D79" s="238"/>
      <c r="E79" s="238"/>
      <c r="F79" s="238"/>
      <c r="G79" s="238"/>
      <c r="H79" s="238"/>
      <c r="I79" s="238"/>
      <c r="J79" s="238"/>
      <c r="K79" s="238"/>
      <c r="L79" s="238"/>
      <c r="M79" s="238"/>
      <c r="N79" s="238"/>
      <c r="O79" s="238"/>
      <c r="P79" s="238"/>
      <c r="Q79" s="238"/>
      <c r="R79" s="238"/>
      <c r="S79" s="238"/>
      <c r="T79" s="238"/>
      <c r="U79" s="238"/>
      <c r="V79" s="238"/>
      <c r="W79" s="238"/>
      <c r="X79" s="238"/>
    </row>
    <row r="80" spans="1:24" s="21" customFormat="1" ht="12.75">
      <c r="A80" s="239" t="s">
        <v>210</v>
      </c>
      <c r="B80" s="239"/>
      <c r="C80" s="240"/>
      <c r="D80" s="240"/>
      <c r="E80" s="240"/>
      <c r="F80" s="240"/>
      <c r="G80" s="240"/>
      <c r="H80" s="240"/>
      <c r="I80" s="240"/>
      <c r="J80" s="240"/>
      <c r="K80" s="240"/>
      <c r="L80" s="240"/>
      <c r="M80" s="240"/>
      <c r="N80" s="240"/>
      <c r="O80" s="240"/>
      <c r="P80" s="240"/>
      <c r="Q80" s="240"/>
      <c r="R80" s="240"/>
      <c r="S80" s="240"/>
      <c r="T80" s="240"/>
      <c r="U80" s="240"/>
      <c r="V80" s="240"/>
      <c r="W80" s="240"/>
      <c r="X80" s="240"/>
    </row>
    <row r="81" spans="1:24" ht="12.75" customHeight="1">
      <c r="A81" s="237" t="s">
        <v>211</v>
      </c>
      <c r="B81" s="237"/>
      <c r="C81" s="238"/>
      <c r="D81" s="238"/>
      <c r="E81" s="238"/>
      <c r="F81" s="238"/>
      <c r="G81" s="238"/>
      <c r="H81" s="238"/>
      <c r="I81" s="238"/>
      <c r="J81" s="238"/>
      <c r="K81" s="238"/>
      <c r="L81" s="238"/>
      <c r="M81" s="238"/>
      <c r="N81" s="238"/>
      <c r="O81" s="238"/>
      <c r="P81" s="238"/>
      <c r="Q81" s="238"/>
      <c r="R81" s="238"/>
      <c r="S81" s="238"/>
      <c r="T81" s="238"/>
      <c r="U81" s="238"/>
      <c r="V81" s="238"/>
      <c r="W81" s="238"/>
      <c r="X81" s="238"/>
    </row>
    <row r="82" spans="1:24" ht="26.1" customHeight="1">
      <c r="A82" s="237" t="s">
        <v>212</v>
      </c>
      <c r="B82" s="237"/>
      <c r="C82" s="238"/>
      <c r="D82" s="238"/>
      <c r="E82" s="238"/>
      <c r="F82" s="238"/>
      <c r="G82" s="238"/>
      <c r="H82" s="238"/>
      <c r="I82" s="238"/>
      <c r="J82" s="238"/>
      <c r="K82" s="238"/>
      <c r="L82" s="238"/>
      <c r="M82" s="238"/>
      <c r="N82" s="238"/>
      <c r="O82" s="238"/>
      <c r="P82" s="238"/>
      <c r="Q82" s="238"/>
      <c r="R82" s="238"/>
      <c r="S82" s="238"/>
      <c r="T82" s="238"/>
      <c r="U82" s="238"/>
      <c r="V82" s="238"/>
      <c r="W82" s="238"/>
      <c r="X82" s="238"/>
    </row>
    <row r="83" spans="1:24" s="21" customFormat="1" ht="26.1" customHeight="1">
      <c r="A83" s="237" t="s">
        <v>213</v>
      </c>
      <c r="B83" s="237"/>
      <c r="C83" s="238"/>
      <c r="D83" s="238"/>
      <c r="E83" s="238"/>
      <c r="F83" s="238"/>
      <c r="G83" s="238"/>
      <c r="H83" s="238"/>
      <c r="I83" s="238"/>
      <c r="J83" s="238"/>
      <c r="K83" s="238"/>
      <c r="L83" s="238"/>
      <c r="M83" s="238"/>
      <c r="N83" s="238"/>
      <c r="O83" s="238"/>
      <c r="P83" s="238"/>
      <c r="Q83" s="238"/>
      <c r="R83" s="238"/>
      <c r="S83" s="238"/>
      <c r="T83" s="238"/>
      <c r="U83" s="238"/>
      <c r="V83" s="238"/>
      <c r="W83" s="238"/>
      <c r="X83" s="238"/>
    </row>
    <row r="84" spans="1:24" s="21" customFormat="1" ht="12.75" customHeight="1">
      <c r="A84" s="237" t="s">
        <v>214</v>
      </c>
      <c r="B84" s="237"/>
      <c r="C84" s="238"/>
      <c r="D84" s="238"/>
      <c r="E84" s="238"/>
      <c r="F84" s="238"/>
      <c r="G84" s="238"/>
      <c r="H84" s="238"/>
      <c r="I84" s="238"/>
      <c r="J84" s="238"/>
      <c r="K84" s="238"/>
      <c r="L84" s="238"/>
      <c r="M84" s="238"/>
      <c r="N84" s="238"/>
      <c r="O84" s="238"/>
      <c r="P84" s="238"/>
      <c r="Q84" s="238"/>
      <c r="R84" s="238"/>
      <c r="S84" s="238"/>
      <c r="T84" s="238"/>
      <c r="U84" s="238"/>
      <c r="V84" s="238"/>
      <c r="W84" s="238"/>
      <c r="X84" s="238"/>
    </row>
    <row r="85" spans="1:24" s="21" customFormat="1" ht="12.75">
      <c r="A85" s="237" t="s">
        <v>215</v>
      </c>
      <c r="B85" s="237"/>
      <c r="C85" s="238"/>
      <c r="D85" s="238"/>
      <c r="E85" s="238"/>
      <c r="F85" s="238"/>
      <c r="G85" s="238"/>
      <c r="H85" s="238"/>
      <c r="I85" s="238"/>
      <c r="J85" s="238"/>
      <c r="K85" s="238"/>
      <c r="L85" s="238"/>
      <c r="M85" s="238"/>
      <c r="N85" s="238"/>
      <c r="O85" s="238"/>
      <c r="P85" s="238"/>
      <c r="Q85" s="238"/>
      <c r="R85" s="238"/>
      <c r="S85" s="238"/>
      <c r="T85" s="238"/>
      <c r="U85" s="238"/>
      <c r="V85" s="238"/>
      <c r="W85" s="238"/>
      <c r="X85" s="238"/>
    </row>
    <row r="86" spans="1:24" ht="12.75" customHeight="1">
      <c r="A86" s="239" t="s">
        <v>216</v>
      </c>
      <c r="B86" s="239"/>
      <c r="C86" s="240"/>
      <c r="D86" s="240"/>
      <c r="E86" s="240"/>
      <c r="F86" s="240"/>
      <c r="G86" s="240"/>
      <c r="H86" s="240"/>
      <c r="I86" s="240"/>
      <c r="J86" s="240"/>
      <c r="K86" s="240"/>
      <c r="L86" s="240"/>
      <c r="M86" s="240"/>
      <c r="N86" s="240"/>
      <c r="O86" s="240"/>
      <c r="P86" s="240"/>
      <c r="Q86" s="240"/>
      <c r="R86" s="240"/>
      <c r="S86" s="240"/>
      <c r="T86" s="240"/>
      <c r="U86" s="240"/>
      <c r="V86" s="240"/>
      <c r="W86" s="240"/>
      <c r="X86" s="240"/>
    </row>
    <row r="87" spans="1:24" ht="12.75">
      <c r="A87" s="237" t="s">
        <v>217</v>
      </c>
      <c r="B87" s="237"/>
      <c r="C87" s="238"/>
      <c r="D87" s="238"/>
      <c r="E87" s="238"/>
      <c r="F87" s="238"/>
      <c r="G87" s="238"/>
      <c r="H87" s="238"/>
      <c r="I87" s="238"/>
      <c r="J87" s="238"/>
      <c r="K87" s="238"/>
      <c r="L87" s="238"/>
      <c r="M87" s="238"/>
      <c r="N87" s="238"/>
      <c r="O87" s="238"/>
      <c r="P87" s="238"/>
      <c r="Q87" s="238"/>
      <c r="R87" s="238"/>
      <c r="S87" s="238"/>
      <c r="T87" s="238"/>
      <c r="U87" s="238"/>
      <c r="V87" s="238"/>
      <c r="W87" s="238"/>
      <c r="X87" s="238"/>
    </row>
    <row r="88" spans="1:24" ht="12.75">
      <c r="A88" s="237" t="s">
        <v>218</v>
      </c>
      <c r="B88" s="237"/>
      <c r="C88" s="238"/>
      <c r="D88" s="238"/>
      <c r="E88" s="238"/>
      <c r="F88" s="238"/>
      <c r="G88" s="238"/>
      <c r="H88" s="238"/>
      <c r="I88" s="238"/>
      <c r="J88" s="238"/>
      <c r="K88" s="238"/>
      <c r="L88" s="238"/>
      <c r="M88" s="238"/>
      <c r="N88" s="238"/>
      <c r="O88" s="238"/>
      <c r="P88" s="238"/>
      <c r="Q88" s="238"/>
      <c r="R88" s="238"/>
      <c r="S88" s="238"/>
      <c r="T88" s="238"/>
      <c r="U88" s="238"/>
      <c r="V88" s="238"/>
      <c r="W88" s="238"/>
      <c r="X88" s="238"/>
    </row>
    <row r="90" spans="1:24" ht="12.75">
      <c r="A90" s="241" t="s">
        <v>219</v>
      </c>
      <c r="B90" s="241"/>
      <c r="C90" s="242"/>
      <c r="D90" s="242"/>
      <c r="E90" s="242"/>
      <c r="F90" s="242"/>
      <c r="G90" s="242"/>
      <c r="H90" s="242"/>
      <c r="I90" s="242"/>
      <c r="J90" s="242"/>
      <c r="K90" s="242"/>
      <c r="L90" s="242"/>
      <c r="M90" s="242"/>
      <c r="N90" s="242"/>
      <c r="O90" s="242"/>
      <c r="P90" s="242"/>
      <c r="Q90" s="242"/>
      <c r="R90" s="242"/>
      <c r="S90" s="242"/>
      <c r="T90" s="242"/>
      <c r="U90" s="242"/>
      <c r="V90" s="242"/>
      <c r="W90" s="242"/>
      <c r="X90" s="242"/>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37" t="s">
        <v>220</v>
      </c>
      <c r="B92" s="237"/>
      <c r="C92" s="238"/>
      <c r="D92" s="238"/>
      <c r="E92" s="238"/>
      <c r="F92" s="238"/>
      <c r="G92" s="238"/>
      <c r="H92" s="238"/>
      <c r="I92" s="238"/>
      <c r="J92" s="238"/>
      <c r="K92" s="238"/>
      <c r="L92" s="238"/>
      <c r="M92" s="238"/>
      <c r="N92" s="238"/>
      <c r="O92" s="238"/>
      <c r="P92" s="238"/>
      <c r="Q92" s="238"/>
      <c r="R92" s="238"/>
      <c r="S92" s="238"/>
      <c r="T92" s="238"/>
      <c r="U92" s="238"/>
      <c r="V92" s="238"/>
      <c r="W92" s="238"/>
      <c r="X92" s="238"/>
    </row>
    <row r="93" spans="1:24" ht="12.75" customHeight="1">
      <c r="A93" s="239" t="s">
        <v>221</v>
      </c>
      <c r="B93" s="239"/>
      <c r="C93" s="240"/>
      <c r="D93" s="240"/>
      <c r="E93" s="240"/>
      <c r="F93" s="240"/>
      <c r="G93" s="240"/>
      <c r="H93" s="240"/>
      <c r="I93" s="240"/>
      <c r="J93" s="240"/>
      <c r="K93" s="240"/>
      <c r="L93" s="240"/>
      <c r="M93" s="240"/>
      <c r="N93" s="240"/>
      <c r="O93" s="240"/>
      <c r="P93" s="240"/>
      <c r="Q93" s="240"/>
      <c r="R93" s="240"/>
      <c r="S93" s="240"/>
      <c r="T93" s="240"/>
      <c r="U93" s="240"/>
      <c r="V93" s="240"/>
      <c r="W93" s="240"/>
      <c r="X93" s="240"/>
    </row>
    <row r="94" spans="1:24" ht="12.75" customHeight="1">
      <c r="A94" s="237" t="s">
        <v>222</v>
      </c>
      <c r="B94" s="237"/>
      <c r="C94" s="238"/>
      <c r="D94" s="238"/>
      <c r="E94" s="238"/>
      <c r="F94" s="238"/>
      <c r="G94" s="238"/>
      <c r="H94" s="238"/>
      <c r="I94" s="238"/>
      <c r="J94" s="238"/>
      <c r="K94" s="238"/>
      <c r="L94" s="238"/>
      <c r="M94" s="238"/>
      <c r="N94" s="238"/>
      <c r="O94" s="238"/>
      <c r="P94" s="238"/>
      <c r="Q94" s="238"/>
      <c r="R94" s="238"/>
      <c r="S94" s="238"/>
      <c r="T94" s="238"/>
      <c r="U94" s="238"/>
      <c r="V94" s="238"/>
      <c r="W94" s="238"/>
      <c r="X94" s="238"/>
    </row>
    <row r="95" spans="1:24" ht="12.75">
      <c r="A95" s="237" t="s">
        <v>223</v>
      </c>
      <c r="B95" s="237"/>
      <c r="C95" s="238"/>
      <c r="D95" s="238"/>
      <c r="E95" s="238"/>
      <c r="F95" s="238"/>
      <c r="G95" s="238"/>
      <c r="H95" s="238"/>
      <c r="I95" s="238"/>
      <c r="J95" s="238"/>
      <c r="K95" s="238"/>
      <c r="L95" s="238"/>
      <c r="M95" s="238"/>
      <c r="N95" s="238"/>
      <c r="O95" s="238"/>
      <c r="P95" s="238"/>
      <c r="Q95" s="238"/>
      <c r="R95" s="238"/>
      <c r="S95" s="238"/>
      <c r="T95" s="238"/>
      <c r="U95" s="238"/>
      <c r="V95" s="238"/>
      <c r="W95" s="238"/>
      <c r="X95" s="238"/>
    </row>
    <row r="96" spans="1:24" ht="12.75" customHeight="1">
      <c r="A96" s="239"/>
      <c r="B96" s="239"/>
      <c r="C96" s="240"/>
      <c r="D96" s="240"/>
      <c r="E96" s="240"/>
      <c r="F96" s="240"/>
      <c r="G96" s="240"/>
      <c r="H96" s="240"/>
      <c r="I96" s="240"/>
      <c r="J96" s="240"/>
      <c r="K96" s="240"/>
      <c r="L96" s="240"/>
      <c r="M96" s="240"/>
      <c r="N96" s="240"/>
      <c r="O96" s="240"/>
      <c r="P96" s="240"/>
      <c r="Q96" s="240"/>
      <c r="R96" s="240"/>
      <c r="S96" s="240"/>
      <c r="T96" s="240"/>
      <c r="U96" s="240"/>
      <c r="V96" s="240"/>
      <c r="W96" s="240"/>
      <c r="X96" s="240"/>
    </row>
    <row r="97" spans="1:24" ht="12.75">
      <c r="A97" s="241" t="s">
        <v>224</v>
      </c>
      <c r="B97" s="241"/>
      <c r="C97" s="242"/>
      <c r="D97" s="242"/>
      <c r="E97" s="242"/>
      <c r="F97" s="242"/>
      <c r="G97" s="242"/>
      <c r="H97" s="242"/>
      <c r="I97" s="242"/>
      <c r="J97" s="242"/>
      <c r="K97" s="242"/>
      <c r="L97" s="242"/>
      <c r="M97" s="242"/>
      <c r="N97" s="242"/>
      <c r="O97" s="242"/>
      <c r="P97" s="242"/>
      <c r="Q97" s="242"/>
      <c r="R97" s="242"/>
      <c r="S97" s="242"/>
      <c r="T97" s="242"/>
      <c r="U97" s="242"/>
      <c r="V97" s="242"/>
      <c r="W97" s="242"/>
      <c r="X97" s="242"/>
    </row>
    <row r="98" spans="1:24" ht="12.75" customHeight="1">
      <c r="A98" s="239"/>
      <c r="B98" s="239"/>
      <c r="C98" s="240"/>
      <c r="D98" s="240"/>
      <c r="E98" s="240"/>
      <c r="F98" s="240"/>
      <c r="G98" s="240"/>
      <c r="H98" s="240"/>
      <c r="I98" s="240"/>
      <c r="J98" s="240"/>
      <c r="K98" s="240"/>
      <c r="L98" s="240"/>
      <c r="M98" s="240"/>
      <c r="N98" s="240"/>
      <c r="O98" s="240"/>
      <c r="P98" s="240"/>
      <c r="Q98" s="240"/>
      <c r="R98" s="240"/>
      <c r="S98" s="240"/>
      <c r="T98" s="240"/>
      <c r="U98" s="240"/>
      <c r="V98" s="240"/>
      <c r="W98" s="240"/>
      <c r="X98" s="240"/>
    </row>
    <row r="99" spans="1:24" ht="12.75" customHeight="1">
      <c r="A99" s="237" t="s">
        <v>225</v>
      </c>
      <c r="B99" s="237"/>
      <c r="C99" s="238"/>
      <c r="D99" s="238"/>
      <c r="E99" s="238"/>
      <c r="F99" s="238"/>
      <c r="G99" s="238"/>
      <c r="H99" s="238"/>
      <c r="I99" s="238"/>
      <c r="J99" s="238"/>
      <c r="K99" s="238"/>
      <c r="L99" s="238"/>
      <c r="M99" s="238"/>
      <c r="N99" s="238"/>
      <c r="O99" s="238"/>
      <c r="P99" s="238"/>
      <c r="Q99" s="238"/>
      <c r="R99" s="238"/>
      <c r="S99" s="238"/>
      <c r="T99" s="238"/>
      <c r="U99" s="238"/>
      <c r="V99" s="238"/>
      <c r="W99" s="238"/>
      <c r="X99" s="238"/>
    </row>
    <row r="100" spans="1:24" ht="12.75" customHeight="1">
      <c r="A100" s="237" t="s">
        <v>226</v>
      </c>
      <c r="B100" s="237"/>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row>
    <row r="101" spans="1:24" ht="12.75">
      <c r="A101" s="237" t="s">
        <v>227</v>
      </c>
      <c r="B101" s="237"/>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 ca="1">T38</f>
        <v>0.2009</v>
      </c>
    </row>
    <row r="109" spans="1:19" ht="12.75">
      <c r="A109"/>
      <c r="E109"/>
      <c r="F109"/>
      <c r="G109" s="31"/>
      <c r="H109" s="31"/>
      <c r="L109" s="82" t="s">
        <v>133</v>
      </c>
      <c r="P109" s="31"/>
      <c r="S109" s="208" t="str">
        <f ca="1">U38</f>
        <v/>
      </c>
    </row>
    <row r="110" spans="1:19" ht="12.75" customHeight="1">
      <c r="A110"/>
      <c r="E110"/>
      <c r="F110"/>
      <c r="G110" s="31"/>
      <c r="H110" s="31"/>
      <c r="L110" s="82" t="s">
        <v>134</v>
      </c>
      <c r="P110" s="31"/>
      <c r="S110" s="208" t="str">
        <f ca="1">V38</f>
        <v/>
      </c>
    </row>
    <row r="111" spans="1:19" ht="12.75">
      <c r="A111"/>
      <c r="E111"/>
      <c r="F111"/>
      <c r="G111" s="31"/>
      <c r="H111" s="31"/>
      <c r="L111" s="82" t="s">
        <v>135</v>
      </c>
      <c r="P111" s="31"/>
      <c r="S111" s="208" t="str">
        <f ca="1">W38</f>
        <v/>
      </c>
    </row>
    <row r="112" spans="1:19" ht="12.75" customHeight="1">
      <c r="A112"/>
      <c r="E112"/>
      <c r="F112"/>
      <c r="G112" s="31"/>
      <c r="H112" s="31"/>
      <c r="L112" s="82" t="s">
        <v>136</v>
      </c>
      <c r="P112" s="31"/>
      <c r="S112" s="208" t="str">
        <f ca="1">X38</f>
        <v/>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34" t="str">
        <f>A28</f>
        <v>Nº OPERAÇÃO</v>
      </c>
      <c r="B220" s="236"/>
      <c r="C220" s="234" t="str">
        <f>C28</f>
        <v>GESTOR</v>
      </c>
      <c r="D220" s="235"/>
      <c r="E220" s="236"/>
      <c r="F220" s="234" t="str">
        <f>F28</f>
        <v>PROGRAMA</v>
      </c>
      <c r="G220" s="235"/>
      <c r="H220" s="235"/>
      <c r="I220" s="236"/>
      <c r="J220" s="234" t="str">
        <f>J28</f>
        <v>AÇÃO / MODALIDADE</v>
      </c>
      <c r="K220" s="235"/>
      <c r="L220" s="235"/>
      <c r="M220" s="235"/>
      <c r="N220" s="235"/>
      <c r="O220" s="236"/>
      <c r="P220" s="234" t="str">
        <f>P28</f>
        <v>OBJETO</v>
      </c>
      <c r="Q220" s="235"/>
      <c r="R220" s="235"/>
      <c r="S220" s="235"/>
      <c r="T220" s="235"/>
      <c r="U220" s="235"/>
      <c r="V220" s="235"/>
      <c r="W220" s="235"/>
      <c r="X220" s="236"/>
    </row>
    <row r="221" spans="1:24" ht="12.75" customHeight="1">
      <c r="A221" s="297" t="str">
        <f>IF(A29="","",A29)</f>
        <v>84444/2017</v>
      </c>
      <c r="B221" s="299"/>
      <c r="C221" s="297" t="str">
        <f>IF(C29="","",C29)</f>
        <v>MCIDADES</v>
      </c>
      <c r="D221" s="298"/>
      <c r="E221" s="299"/>
      <c r="F221" s="297" t="str">
        <f>IF(F29="","",F29)</f>
        <v>PLANEJAMENTO URBANO</v>
      </c>
      <c r="G221" s="298"/>
      <c r="H221" s="298"/>
      <c r="I221" s="299"/>
      <c r="J221" s="297" t="str">
        <f>IF(J29="","",J29)</f>
        <v/>
      </c>
      <c r="K221" s="298"/>
      <c r="L221" s="298" t="e">
        <f>IF(#REF!="","",#REF!)</f>
        <v>#REF!</v>
      </c>
      <c r="M221" s="298"/>
      <c r="N221" s="298" t="e">
        <f>IF(#REF!="","",#REF!)</f>
        <v>#REF!</v>
      </c>
      <c r="O221" s="299"/>
      <c r="P221" s="297" t="str">
        <f>IF(P29="","",P29)</f>
        <v xml:space="preserve">Realizar obras de melhoria na infraestrutura em vias públicas do perímetro urbano do Município de Riqueza (pavimentação asfáltica,
drenagem pluvial e sinalização viária
</v>
      </c>
      <c r="Q221" s="298"/>
      <c r="R221" s="298"/>
      <c r="S221" s="298"/>
      <c r="T221" s="298"/>
      <c r="U221" s="298"/>
      <c r="V221" s="298"/>
      <c r="W221" s="298"/>
      <c r="X221" s="299"/>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34" t="str">
        <f>A31</f>
        <v>PROPONENTE / TOMADOR</v>
      </c>
      <c r="B223" s="235"/>
      <c r="C223" s="235"/>
      <c r="D223" s="235"/>
      <c r="E223" s="235"/>
      <c r="F223" s="235"/>
      <c r="G223" s="234" t="str">
        <f>G31</f>
        <v>MUNICÍPIO / UF</v>
      </c>
      <c r="H223" s="235"/>
      <c r="I223" s="235"/>
      <c r="J223" s="236"/>
      <c r="K223" s="234" t="str">
        <f>K31</f>
        <v>LOCALIDADE / ENDEREÇO</v>
      </c>
      <c r="L223" s="235"/>
      <c r="M223" s="235"/>
      <c r="N223" s="235"/>
      <c r="O223" s="235"/>
      <c r="P223" s="236"/>
      <c r="Q223" s="234" t="str">
        <f>Q31</f>
        <v>APELIDO DO EMPREENDIMENTO</v>
      </c>
      <c r="R223" s="235"/>
      <c r="S223" s="235"/>
      <c r="T223" s="235"/>
      <c r="U223" s="235"/>
      <c r="V223" s="235"/>
      <c r="W223" s="235"/>
      <c r="X223" s="236"/>
    </row>
    <row r="224" spans="1:24" ht="12.75" customHeight="1">
      <c r="A224" s="306" t="str">
        <f>IF(A32="","",A32)</f>
        <v>Município de Riqueza</v>
      </c>
      <c r="B224" s="307"/>
      <c r="C224" s="307"/>
      <c r="D224" s="307"/>
      <c r="E224" s="307"/>
      <c r="F224" s="307"/>
      <c r="G224" s="297" t="str">
        <f>IF(G32="","",G32)</f>
        <v>Riqueza / SC</v>
      </c>
      <c r="H224" s="298" t="str">
        <f>IF(I32="","",I32)</f>
        <v/>
      </c>
      <c r="I224" s="298"/>
      <c r="J224" s="299" t="e">
        <f>IF(#REF!="","",#REF!)</f>
        <v>#REF!</v>
      </c>
      <c r="K224" s="297" t="str">
        <f>IF(K32="","",K32)</f>
        <v>Rua dos Imigrantes e Rua Santos Dumont</v>
      </c>
      <c r="L224" s="298"/>
      <c r="M224" s="298"/>
      <c r="N224" s="298"/>
      <c r="O224" s="298"/>
      <c r="P224" s="299"/>
      <c r="Q224" s="297" t="str">
        <f>IF(Q32="","",Q32)</f>
        <v>Pavimentação Asfáltica Rua Imigrantes e Santos Dumont</v>
      </c>
      <c r="R224" s="298"/>
      <c r="S224" s="298"/>
      <c r="T224" s="298"/>
      <c r="U224" s="298"/>
      <c r="V224" s="298"/>
      <c r="W224" s="298"/>
      <c r="X224" s="299"/>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34" t="str">
        <f>A37</f>
        <v>DATA BASE</v>
      </c>
      <c r="B226" s="236"/>
      <c r="C226" s="135" t="str">
        <f>C37</f>
        <v>DESON.</v>
      </c>
      <c r="D226" s="234" t="str">
        <f>D37</f>
        <v>LOCALIDADE DO SINAPI</v>
      </c>
      <c r="E226" s="235"/>
      <c r="F226" s="236"/>
      <c r="G226" s="234" t="str">
        <f>G37</f>
        <v>DESCRIÇÃO DO LOTE</v>
      </c>
      <c r="H226" s="235"/>
      <c r="I226" s="235"/>
      <c r="J226" s="235"/>
      <c r="K226" s="235"/>
      <c r="L226" s="235"/>
      <c r="M226" s="235"/>
      <c r="N226" s="235"/>
      <c r="O226" s="235"/>
      <c r="P226" s="235"/>
      <c r="Q226" s="235"/>
      <c r="R226" s="235"/>
      <c r="S226" s="236"/>
      <c r="T226" s="136" t="str">
        <f>T37</f>
        <v>BDI 1</v>
      </c>
      <c r="U226" s="136" t="str">
        <f>U37</f>
        <v>BDI 2</v>
      </c>
      <c r="V226" s="136" t="str">
        <f>V37</f>
        <v>BDI 3</v>
      </c>
      <c r="W226" s="136" t="str">
        <f>W37</f>
        <v>BDI 4</v>
      </c>
      <c r="X226" s="136" t="str">
        <f>X37</f>
        <v>BDI 5</v>
      </c>
    </row>
    <row r="227" spans="1:24" ht="12.75" customHeight="1" hidden="1">
      <c r="A227" s="311">
        <f>IF(A38="","",A38)</f>
        <v>42826</v>
      </c>
      <c r="B227" s="312"/>
      <c r="C227" s="137" t="str">
        <f aca="true" t="shared" si="0" ref="C227:X227">IF(C38="","",C38)</f>
        <v>Não</v>
      </c>
      <c r="D227" s="285" t="str">
        <f t="shared" si="0"/>
        <v>Florianópolis / SC</v>
      </c>
      <c r="E227" s="286" t="str">
        <f t="shared" si="0"/>
        <v/>
      </c>
      <c r="F227" s="308" t="str">
        <f t="shared" si="0"/>
        <v/>
      </c>
      <c r="G227" s="285" t="str">
        <f t="shared" si="0"/>
        <v/>
      </c>
      <c r="H227" s="286" t="str">
        <f t="shared" si="0"/>
        <v/>
      </c>
      <c r="I227" s="286" t="str">
        <f t="shared" si="0"/>
        <v/>
      </c>
      <c r="J227" s="286" t="str">
        <f t="shared" si="0"/>
        <v/>
      </c>
      <c r="K227" s="286" t="str">
        <f t="shared" si="0"/>
        <v/>
      </c>
      <c r="L227" s="286" t="str">
        <f t="shared" si="0"/>
        <v/>
      </c>
      <c r="M227" s="286" t="str">
        <f t="shared" si="0"/>
        <v/>
      </c>
      <c r="N227" s="286" t="str">
        <f t="shared" si="0"/>
        <v/>
      </c>
      <c r="O227" s="286" t="str">
        <f t="shared" si="0"/>
        <v/>
      </c>
      <c r="P227" s="286" t="str">
        <f t="shared" si="0"/>
        <v/>
      </c>
      <c r="Q227" s="286" t="str">
        <f t="shared" si="0"/>
        <v/>
      </c>
      <c r="R227" s="286" t="str">
        <f t="shared" si="0"/>
        <v/>
      </c>
      <c r="S227" s="308" t="str">
        <f t="shared" si="0"/>
        <v/>
      </c>
      <c r="T227" s="139">
        <f ca="1" t="shared" si="0"/>
        <v>0.2009</v>
      </c>
      <c r="U227" s="96" t="str">
        <f ca="1" t="shared" si="0"/>
        <v/>
      </c>
      <c r="V227" s="96" t="str">
        <f ca="1" t="shared" si="0"/>
        <v/>
      </c>
      <c r="W227" s="96" t="str">
        <f ca="1" t="shared" si="0"/>
        <v/>
      </c>
      <c r="X227" s="96" t="str">
        <f ca="1" t="shared" si="0"/>
        <v/>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34" t="s">
        <v>87</v>
      </c>
      <c r="B229" s="236"/>
      <c r="C229" s="234" t="s">
        <v>163</v>
      </c>
      <c r="D229" s="235"/>
      <c r="E229" s="235"/>
      <c r="F229" s="235"/>
      <c r="G229" s="235"/>
      <c r="H229" s="234" t="s">
        <v>16</v>
      </c>
      <c r="I229" s="235"/>
      <c r="J229" s="134" t="s">
        <v>91</v>
      </c>
      <c r="K229" s="234" t="s">
        <v>88</v>
      </c>
      <c r="L229" s="235"/>
      <c r="M229" s="236"/>
      <c r="N229" s="134" t="s">
        <v>92</v>
      </c>
      <c r="O229" s="234" t="s">
        <v>93</v>
      </c>
      <c r="P229" s="235"/>
      <c r="Q229" s="235"/>
      <c r="R229" s="235"/>
      <c r="S229" s="235"/>
      <c r="T229" s="236"/>
      <c r="U229" s="313" t="s">
        <v>89</v>
      </c>
      <c r="V229" s="314"/>
      <c r="W229" s="313" t="s">
        <v>90</v>
      </c>
      <c r="X229" s="314"/>
    </row>
    <row r="230" spans="1:24" s="21" customFormat="1" ht="12.75" customHeight="1">
      <c r="A230" s="285" t="str">
        <f>IF(A43="","",A43)</f>
        <v/>
      </c>
      <c r="B230" s="308"/>
      <c r="C230" s="285" t="str">
        <f>IF(C43="","",C43)</f>
        <v/>
      </c>
      <c r="D230" s="286"/>
      <c r="E230" s="286" t="str">
        <f>IF(E43="","",E43)</f>
        <v/>
      </c>
      <c r="F230" s="286"/>
      <c r="G230" s="286" t="str">
        <f>IF(G43="","",G43)</f>
        <v/>
      </c>
      <c r="H230" s="295" t="str">
        <f>IF(H43="","",H43)</f>
        <v/>
      </c>
      <c r="I230" s="296" t="str">
        <f>IF(I43="","",I43)</f>
        <v/>
      </c>
      <c r="J230" s="138" t="str">
        <f>IF(J43="","",J43)</f>
        <v/>
      </c>
      <c r="K230" s="300" t="str">
        <f>IF(K43="","",K43)</f>
        <v/>
      </c>
      <c r="L230" s="302"/>
      <c r="M230" s="303" t="str">
        <f>IF(M43="","",M43)</f>
        <v/>
      </c>
      <c r="N230" s="140" t="str">
        <f>IF(N43="","",N43)</f>
        <v/>
      </c>
      <c r="O230" s="300" t="str">
        <f>IF(O43="","",O43)</f>
        <v/>
      </c>
      <c r="P230" s="301"/>
      <c r="Q230" s="301" t="str">
        <f>IF(Q43="","",Q43)</f>
        <v/>
      </c>
      <c r="R230" s="302"/>
      <c r="S230" s="302" t="str">
        <f>IF(S43="","",S43)</f>
        <v/>
      </c>
      <c r="T230" s="303"/>
      <c r="U230" s="309" t="str">
        <f>IF(U43="","",U43)</f>
        <v/>
      </c>
      <c r="V230" s="310"/>
      <c r="W230" s="304" t="str">
        <f>IF(W43="","",W43)</f>
        <v/>
      </c>
      <c r="X230" s="305"/>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algorithmName="SHA-512" hashValue="nZfdCiU9xg9d+8MgM3IX6CEa4WH7EEhFhlujM8IDEFnSJoRB/Bs/v9Yc5FSDZ7xH/VqRl9GSGyUzv3ZF6XLpAA==" saltValue="K+fEopMTrYJp30x4dipIFg==" spinCount="100000" sheet="1" objects="1" scenarios="1"/>
  <mergeCells count="136">
    <mergeCell ref="C221:E221"/>
    <mergeCell ref="F220:I220"/>
    <mergeCell ref="F221:I221"/>
    <mergeCell ref="P220:X220"/>
    <mergeCell ref="P221:X221"/>
    <mergeCell ref="G32:J32"/>
    <mergeCell ref="K31:P31"/>
    <mergeCell ref="K32:P32"/>
    <mergeCell ref="W229:X229"/>
    <mergeCell ref="U229:V229"/>
    <mergeCell ref="H43:I43"/>
    <mergeCell ref="A85:X85"/>
    <mergeCell ref="A221:B221"/>
    <mergeCell ref="A80:X80"/>
    <mergeCell ref="A83:X83"/>
    <mergeCell ref="J221:O221"/>
    <mergeCell ref="C220:E220"/>
    <mergeCell ref="A87:X87"/>
    <mergeCell ref="A96:X96"/>
    <mergeCell ref="A101:X101"/>
    <mergeCell ref="A226:B226"/>
    <mergeCell ref="A220:B220"/>
    <mergeCell ref="A90:X90"/>
    <mergeCell ref="A93:X93"/>
    <mergeCell ref="H230:I230"/>
    <mergeCell ref="K224:P224"/>
    <mergeCell ref="Q223:X223"/>
    <mergeCell ref="D226:F226"/>
    <mergeCell ref="A229:B229"/>
    <mergeCell ref="C229:G229"/>
    <mergeCell ref="O230:T230"/>
    <mergeCell ref="H229:I229"/>
    <mergeCell ref="K229:M229"/>
    <mergeCell ref="O229:T229"/>
    <mergeCell ref="W230:X230"/>
    <mergeCell ref="Q224:X224"/>
    <mergeCell ref="A223:F223"/>
    <mergeCell ref="A224:F224"/>
    <mergeCell ref="G224:J224"/>
    <mergeCell ref="K223:P223"/>
    <mergeCell ref="A230:B230"/>
    <mergeCell ref="U230:V230"/>
    <mergeCell ref="K230:M230"/>
    <mergeCell ref="D227:F227"/>
    <mergeCell ref="G223:J223"/>
    <mergeCell ref="G227:S227"/>
    <mergeCell ref="A227:B227"/>
    <mergeCell ref="G226:S226"/>
    <mergeCell ref="C230:G230"/>
    <mergeCell ref="A48:C48"/>
    <mergeCell ref="H57:K57"/>
    <mergeCell ref="J29:O29"/>
    <mergeCell ref="B54:E54"/>
    <mergeCell ref="A65:X65"/>
    <mergeCell ref="H55:K55"/>
    <mergeCell ref="A45:X45"/>
    <mergeCell ref="A63:X63"/>
    <mergeCell ref="A50:X50"/>
    <mergeCell ref="C29:E29"/>
    <mergeCell ref="F29:I29"/>
    <mergeCell ref="P29:X29"/>
    <mergeCell ref="Q31:X31"/>
    <mergeCell ref="Q32:X32"/>
    <mergeCell ref="A31:F31"/>
    <mergeCell ref="A32:F32"/>
    <mergeCell ref="G31:J31"/>
    <mergeCell ref="A70:X70"/>
    <mergeCell ref="A40:X40"/>
    <mergeCell ref="G38:S38"/>
    <mergeCell ref="A100:X100"/>
    <mergeCell ref="A74:X74"/>
    <mergeCell ref="A81:X81"/>
    <mergeCell ref="B1:X2"/>
    <mergeCell ref="H56:K56"/>
    <mergeCell ref="W42:X42"/>
    <mergeCell ref="A37:B37"/>
    <mergeCell ref="A42:B42"/>
    <mergeCell ref="W43:X43"/>
    <mergeCell ref="O43:T43"/>
    <mergeCell ref="C43:G43"/>
    <mergeCell ref="K42:M42"/>
    <mergeCell ref="U43:V43"/>
    <mergeCell ref="B55:E55"/>
    <mergeCell ref="H54:K54"/>
    <mergeCell ref="K43:M43"/>
    <mergeCell ref="C28:E28"/>
    <mergeCell ref="F28:I28"/>
    <mergeCell ref="J28:O28"/>
    <mergeCell ref="P28:X28"/>
    <mergeCell ref="A38:B38"/>
    <mergeCell ref="U42:V42"/>
    <mergeCell ref="A4:X4"/>
    <mergeCell ref="A6:X6"/>
    <mergeCell ref="A8:X8"/>
    <mergeCell ref="A24:X24"/>
    <mergeCell ref="A14:X14"/>
    <mergeCell ref="A10:X10"/>
    <mergeCell ref="A12:X12"/>
    <mergeCell ref="A16:X16"/>
    <mergeCell ref="A18:X18"/>
    <mergeCell ref="A22:I22"/>
    <mergeCell ref="A94:X94"/>
    <mergeCell ref="A92:X92"/>
    <mergeCell ref="A76:X76"/>
    <mergeCell ref="A84:X84"/>
    <mergeCell ref="A77:X77"/>
    <mergeCell ref="B57:E57"/>
    <mergeCell ref="A67:X67"/>
    <mergeCell ref="A88:X88"/>
    <mergeCell ref="A68:X68"/>
    <mergeCell ref="A78:X78"/>
    <mergeCell ref="A71:X71"/>
    <mergeCell ref="A72:X72"/>
    <mergeCell ref="J220:O220"/>
    <mergeCell ref="A99:X99"/>
    <mergeCell ref="A98:X98"/>
    <mergeCell ref="A97:X97"/>
    <mergeCell ref="A26:X26"/>
    <mergeCell ref="A28:B28"/>
    <mergeCell ref="A29:B29"/>
    <mergeCell ref="A69:X69"/>
    <mergeCell ref="A60:X60"/>
    <mergeCell ref="A62:X62"/>
    <mergeCell ref="A86:X86"/>
    <mergeCell ref="A35:X35"/>
    <mergeCell ref="D38:F38"/>
    <mergeCell ref="C42:G42"/>
    <mergeCell ref="H42:I42"/>
    <mergeCell ref="B56:E56"/>
    <mergeCell ref="G37:S37"/>
    <mergeCell ref="O42:T42"/>
    <mergeCell ref="D37:F37"/>
    <mergeCell ref="A43:B43"/>
    <mergeCell ref="A79:X79"/>
    <mergeCell ref="A82:X82"/>
    <mergeCell ref="A95:X95"/>
  </mergeCells>
  <conditionalFormatting sqref="B54:E55 B56 B57:E57">
    <cfRule type="expression" priority="42" dxfId="26" stopIfTrue="1">
      <formula>$B54&lt;&gt;""</formula>
    </cfRule>
  </conditionalFormatting>
  <conditionalFormatting sqref="A48 H54:K54 H55:H56 H57:K57 A29:C29 J29 F29 A32 P29 G32 K32">
    <cfRule type="expression" priority="48" dxfId="26" stopIfTrue="1">
      <formula>A29&lt;&gt;""</formula>
    </cfRule>
  </conditionalFormatting>
  <conditionalFormatting sqref="G53:K54 G55:H56 G57:K57">
    <cfRule type="expression" priority="43" dxfId="85" stopIfTrue="1">
      <formula>$K$52&lt;&gt;"SIM"</formula>
    </cfRule>
  </conditionalFormatting>
  <conditionalFormatting sqref="A40:X43">
    <cfRule type="expression" priority="56" dxfId="11" stopIfTrue="1">
      <formula>OR(TipoOrçamento="BASE",TipoOrçamento="REPROGRAMADONPL")</formula>
    </cfRule>
    <cfRule type="expression" priority="57" dxfId="26" stopIfTrue="1">
      <formula>A40&lt;&gt;""</formula>
    </cfRule>
  </conditionalFormatting>
  <conditionalFormatting sqref="A35:X38">
    <cfRule type="expression" priority="58" dxfId="11" stopIfTrue="1">
      <formula>OR(TipoOrçamento="LICITADO",TipoOrçamento="REPROGRAMADOAC")</formula>
    </cfRule>
    <cfRule type="expression" priority="59" dxfId="26" stopIfTrue="1">
      <formula>A35&lt;&gt;""</formula>
    </cfRule>
  </conditionalFormatting>
  <conditionalFormatting sqref="Q32">
    <cfRule type="expression" priority="1" dxfId="26"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1"/>
  <headerFooter alignWithMargins="0">
    <oddHeader>&amp;L_</oddHeader>
    <oddFooter>&amp;L27.476 v007   micro&amp;R&amp;P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tabColor rgb="FFFFFF00"/>
    <pageSetUpPr fitToPage="1"/>
  </sheetPr>
  <dimension ref="A1:AE60"/>
  <sheetViews>
    <sheetView showGridLines="0" zoomScaleSheetLayoutView="100" zoomScalePageLayoutView="70" workbookViewId="0" topLeftCell="I13">
      <selection activeCell="T26" sqref="T26"/>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3" t="s">
        <v>150</v>
      </c>
      <c r="J4" s="244"/>
      <c r="K4" s="243" t="s">
        <v>173</v>
      </c>
      <c r="L4" s="252"/>
      <c r="M4" s="252"/>
      <c r="N4" s="252"/>
      <c r="O4" s="252"/>
      <c r="P4" s="252"/>
      <c r="Q4" s="252"/>
      <c r="R4" s="244"/>
    </row>
    <row r="5" spans="1:19" ht="12.75" customHeight="1">
      <c r="A5" s="52" t="str">
        <f>A4</f>
        <v>Construção e Reforma de Edifícios</v>
      </c>
      <c r="B5" s="54" t="s">
        <v>32</v>
      </c>
      <c r="C5" s="52" t="str">
        <f t="shared" si="0"/>
        <v>Construção e Reforma de Edifícios-DF</v>
      </c>
      <c r="E5" s="55">
        <v>0.0059</v>
      </c>
      <c r="F5" s="55">
        <v>0.0123</v>
      </c>
      <c r="G5" s="55">
        <v>0.0139</v>
      </c>
      <c r="I5" s="344" t="str">
        <f>DADOS!A29</f>
        <v>84444/2017</v>
      </c>
      <c r="J5" s="345"/>
      <c r="K5" s="346" t="str">
        <f>DADOS!A32</f>
        <v>Município de Riqueza</v>
      </c>
      <c r="L5" s="347"/>
      <c r="M5" s="347"/>
      <c r="N5" s="347"/>
      <c r="O5" s="347"/>
      <c r="P5" s="347"/>
      <c r="Q5" s="347"/>
      <c r="R5" s="348"/>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3" t="s">
        <v>0</v>
      </c>
      <c r="J7" s="252"/>
      <c r="K7" s="252"/>
      <c r="L7" s="252"/>
      <c r="M7" s="252"/>
      <c r="N7" s="252"/>
      <c r="O7" s="252"/>
      <c r="P7" s="252"/>
      <c r="Q7" s="252"/>
      <c r="R7" s="244"/>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9" t="str">
        <f>DADOS!P29</f>
        <v xml:space="preserve">Realizar obras de melhoria na infraestrutura em vias públicas do perímetro urbano do Município de Riqueza (pavimentação asfáltica,
drenagem pluvial e sinalização viária
</v>
      </c>
      <c r="J8" s="349"/>
      <c r="K8" s="349"/>
      <c r="L8" s="349"/>
      <c r="M8" s="349"/>
      <c r="N8" s="349"/>
      <c r="O8" s="349"/>
      <c r="P8" s="349"/>
      <c r="Q8" s="349"/>
      <c r="R8" s="349"/>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3" t="s">
        <v>35</v>
      </c>
      <c r="J10" s="252"/>
      <c r="K10" s="252"/>
      <c r="L10" s="252"/>
      <c r="M10" s="252"/>
      <c r="N10" s="252"/>
      <c r="O10" s="252"/>
      <c r="P10" s="252"/>
      <c r="Q10" s="243" t="s">
        <v>13</v>
      </c>
      <c r="R10" s="244"/>
    </row>
    <row r="11" spans="1:18" ht="12.75">
      <c r="A11" s="52" t="s">
        <v>34</v>
      </c>
      <c r="B11" s="54" t="s">
        <v>32</v>
      </c>
      <c r="C11" s="52" t="str">
        <f t="shared" si="0"/>
        <v>Construção de Praças Urbanas, Rodovias, Ferrovias e recapeamento e pavimentação de vias urbanas-DF</v>
      </c>
      <c r="E11" s="55">
        <v>0.0102</v>
      </c>
      <c r="F11" s="55">
        <v>0.0111</v>
      </c>
      <c r="G11" s="55">
        <v>0.0121</v>
      </c>
      <c r="I11" s="339" t="s">
        <v>34</v>
      </c>
      <c r="J11" s="340"/>
      <c r="K11" s="340"/>
      <c r="L11" s="340"/>
      <c r="M11" s="340"/>
      <c r="N11" s="340"/>
      <c r="O11" s="340"/>
      <c r="P11" s="341"/>
      <c r="Q11" s="342" t="str">
        <f>DADOS!$C$38</f>
        <v>Não</v>
      </c>
      <c r="R11" s="343"/>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50" t="s">
        <v>36</v>
      </c>
      <c r="J13" s="350"/>
      <c r="K13" s="350"/>
      <c r="L13" s="350"/>
      <c r="M13" s="350"/>
      <c r="N13" s="350"/>
      <c r="O13" s="350"/>
      <c r="P13" s="350"/>
      <c r="Q13" s="353">
        <v>1</v>
      </c>
      <c r="R13" s="353"/>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54" t="s">
        <v>38</v>
      </c>
      <c r="J14" s="354"/>
      <c r="K14" s="354"/>
      <c r="L14" s="354"/>
      <c r="M14" s="354"/>
      <c r="N14" s="354"/>
      <c r="O14" s="354"/>
      <c r="P14" s="354"/>
      <c r="Q14" s="353">
        <v>0.02</v>
      </c>
      <c r="R14" s="353"/>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32" t="s">
        <v>39</v>
      </c>
      <c r="J16" s="332"/>
      <c r="K16" s="332"/>
      <c r="L16" s="332"/>
      <c r="M16" s="332" t="s">
        <v>40</v>
      </c>
      <c r="N16" s="352" t="s">
        <v>41</v>
      </c>
      <c r="O16" s="352" t="s">
        <v>42</v>
      </c>
      <c r="P16" s="351" t="s">
        <v>43</v>
      </c>
      <c r="Q16" s="351" t="s">
        <v>44</v>
      </c>
      <c r="R16" s="355" t="s">
        <v>45</v>
      </c>
      <c r="T16" s="329" t="str">
        <f>IF(V27,"Para BDI fora do intervalo estatístico, deve ser apresentado Relatório Técnico Circunstanciado justificando a adoção do percentual de cada parcela do BDI.","")</f>
        <v/>
      </c>
      <c r="U16" s="329"/>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32"/>
      <c r="J17" s="332"/>
      <c r="K17" s="332"/>
      <c r="L17" s="332"/>
      <c r="M17" s="332"/>
      <c r="N17" s="352"/>
      <c r="O17" s="352"/>
      <c r="P17" s="351"/>
      <c r="Q17" s="351"/>
      <c r="R17" s="355"/>
      <c r="T17" s="329"/>
      <c r="U17" s="329"/>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17" t="str">
        <f>IF($I$11=$A$59,"Encargos Sociais incidentes sobre a mão de obra","Administração Central")</f>
        <v>Administração Central</v>
      </c>
      <c r="J18" s="317"/>
      <c r="K18" s="317"/>
      <c r="L18" s="317"/>
      <c r="M18" s="60" t="str">
        <f>IF($I$11=$A$59,"K1","AC")</f>
        <v>AC</v>
      </c>
      <c r="N18" s="61">
        <v>0.037</v>
      </c>
      <c r="O18" s="62" t="s">
        <v>46</v>
      </c>
      <c r="P18" s="63">
        <f>VLOOKUP(CONCATENATE(I$11,"-",M18),$C$2:$G$49,3,FALSE)</f>
        <v>0.038</v>
      </c>
      <c r="Q18" s="63">
        <f>VLOOKUP(CONCATENATE(I$11,"-",M18),$C$2:$G$49,4,FALSE)</f>
        <v>0.0401</v>
      </c>
      <c r="R18" s="63">
        <f>VLOOKUP(CONCATENATE(I$11,"-",M18),$C$2:$G$49,5,FALSE)</f>
        <v>0.0467</v>
      </c>
      <c r="T18" s="329"/>
      <c r="U18" s="329"/>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17" t="str">
        <f>IF($I$11=$A$59,"Administração Central da empresa ou consultoria - overhead","Seguro e Garantia")</f>
        <v>Seguro e Garantia</v>
      </c>
      <c r="J19" s="317"/>
      <c r="K19" s="317"/>
      <c r="L19" s="317"/>
      <c r="M19" s="60" t="str">
        <f>IF($I$11=$A$59,"K2","SG")</f>
        <v>SG</v>
      </c>
      <c r="N19" s="61">
        <v>0.008</v>
      </c>
      <c r="O19" s="62" t="s">
        <v>46</v>
      </c>
      <c r="P19" s="63">
        <f>VLOOKUP(CONCATENATE(I$11,"-",M19),$C$2:$G$49,3,FALSE)</f>
        <v>0.0032</v>
      </c>
      <c r="Q19" s="63">
        <f>VLOOKUP(CONCATENATE(I$11,"-",M19),$C$2:$G$49,4,FALSE)</f>
        <v>0.004</v>
      </c>
      <c r="R19" s="63">
        <f>VLOOKUP(CONCATENATE(I$11,"-",M19),$C$2:$G$49,5,FALSE)</f>
        <v>0.0074</v>
      </c>
      <c r="T19" s="329"/>
      <c r="U19" s="329"/>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17" t="str">
        <f>IF($I$11=$A$59,"","Risco")</f>
        <v>Risco</v>
      </c>
      <c r="J20" s="317"/>
      <c r="K20" s="317"/>
      <c r="L20" s="317"/>
      <c r="M20" s="60" t="str">
        <f>IF($I$11=$A$59,"","R")</f>
        <v>R</v>
      </c>
      <c r="N20" s="61">
        <v>0.0075</v>
      </c>
      <c r="O20" s="62" t="s">
        <v>46</v>
      </c>
      <c r="P20" s="63">
        <f>VLOOKUP(CONCATENATE(I$11,"-",M20),$C$2:$G$49,3,FALSE)</f>
        <v>0.005</v>
      </c>
      <c r="Q20" s="63">
        <f>VLOOKUP(CONCATENATE(I$11,"-",M20),$C$2:$G$49,4,FALSE)</f>
        <v>0.005600000000000001</v>
      </c>
      <c r="R20" s="63">
        <f>VLOOKUP(CONCATENATE(I$11,"-",M20),$C$2:$G$49,5,FALSE)</f>
        <v>0.0097</v>
      </c>
      <c r="T20" s="329"/>
      <c r="U20" s="329"/>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17" t="str">
        <f>IF($I$11=$A$59,"","Despesas Financeiras")</f>
        <v>Despesas Financeiras</v>
      </c>
      <c r="J21" s="317"/>
      <c r="K21" s="317"/>
      <c r="L21" s="317"/>
      <c r="M21" s="60" t="str">
        <f>IF($I$11=$A$59,"","DF")</f>
        <v>DF</v>
      </c>
      <c r="N21" s="61">
        <v>0.0099</v>
      </c>
      <c r="O21" s="62" t="s">
        <v>46</v>
      </c>
      <c r="P21" s="63">
        <f>VLOOKUP(CONCATENATE(I$11,"-",M21),$C$2:$G$49,3,FALSE)</f>
        <v>0.0102</v>
      </c>
      <c r="Q21" s="63">
        <f>VLOOKUP(CONCATENATE(I$11,"-",M21),$C$2:$G$49,4,FALSE)</f>
        <v>0.0111</v>
      </c>
      <c r="R21" s="63">
        <f>VLOOKUP(CONCATENATE(I$11,"-",M21),$C$2:$G$49,5,FALSE)</f>
        <v>0.0121</v>
      </c>
      <c r="T21" s="329"/>
      <c r="U21" s="329"/>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17" t="str">
        <f>IF($I$11=$A$59,"Margem bruta da empresa de consultoria","Lucro")</f>
        <v>Lucro</v>
      </c>
      <c r="J22" s="317"/>
      <c r="K22" s="317"/>
      <c r="L22" s="317"/>
      <c r="M22" s="60" t="str">
        <f>IF($I$11=$A$59,"K3","L")</f>
        <v>L</v>
      </c>
      <c r="N22" s="61">
        <v>0.066</v>
      </c>
      <c r="O22" s="62" t="s">
        <v>46</v>
      </c>
      <c r="P22" s="63">
        <f>VLOOKUP(CONCATENATE(I$11,"-",M22),$C$2:$G$49,3,FALSE)</f>
        <v>0.0664</v>
      </c>
      <c r="Q22" s="63">
        <f>VLOOKUP(CONCATENATE(I$11,"-",M22),$C$2:$G$49,4,FALSE)</f>
        <v>0.073</v>
      </c>
      <c r="R22" s="63">
        <f>VLOOKUP(CONCATENATE(I$11,"-",M22),$C$2:$G$49,5,FALSE)</f>
        <v>0.08689999999999999</v>
      </c>
      <c r="T22" s="329"/>
      <c r="U22" s="329"/>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1" t="s">
        <v>48</v>
      </c>
      <c r="J23" s="331"/>
      <c r="K23" s="331"/>
      <c r="L23" s="331"/>
      <c r="M23" s="60" t="s">
        <v>49</v>
      </c>
      <c r="N23" s="61">
        <v>0.0365</v>
      </c>
      <c r="O23" s="62" t="s">
        <v>46</v>
      </c>
      <c r="P23" s="63">
        <v>0.0365</v>
      </c>
      <c r="Q23" s="63">
        <v>0.0365</v>
      </c>
      <c r="R23" s="63">
        <v>0.0365</v>
      </c>
      <c r="T23" s="329"/>
      <c r="U23" s="329"/>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17" t="s">
        <v>50</v>
      </c>
      <c r="J24" s="317"/>
      <c r="K24" s="317"/>
      <c r="L24" s="317"/>
      <c r="M24" s="60" t="s">
        <v>51</v>
      </c>
      <c r="N24" s="63">
        <f>IF($I$11&lt;&gt;$A$58,Q14*Q13,0)</f>
        <v>0.02</v>
      </c>
      <c r="O24" s="62" t="s">
        <v>46</v>
      </c>
      <c r="P24" s="63">
        <v>0</v>
      </c>
      <c r="Q24" s="63">
        <v>0.025</v>
      </c>
      <c r="R24" s="63">
        <v>0.05</v>
      </c>
      <c r="T24" s="329"/>
      <c r="U24" s="329"/>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17" t="s">
        <v>116</v>
      </c>
      <c r="J25" s="317"/>
      <c r="K25" s="317"/>
      <c r="L25" s="317"/>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17" t="s">
        <v>53</v>
      </c>
      <c r="J26" s="317"/>
      <c r="K26" s="317"/>
      <c r="L26" s="317"/>
      <c r="M26" s="65" t="s">
        <v>33</v>
      </c>
      <c r="N26" s="63">
        <f>IF($I$11=$A$58,0,ROUND((((1+N18+N19+N20)*(1+N21)*(1+N22)/(1-(N23+N24)))-1),4))</f>
        <v>0.2009</v>
      </c>
      <c r="O26" s="106" t="str">
        <f>IF(OR($I$11=$A$59,$I$11=$A$58,AND(N26&gt;=P26,N26&lt;=R26)),"OK","FORA DO INTERVALO")</f>
        <v>OK</v>
      </c>
      <c r="P26" s="63">
        <f>IF($I$11=$A$58,0,VLOOKUP(CONCATENATE($I$11,"-",$M26),$C$2:$G$49,3,FALSE))</f>
        <v>0.196</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18" t="s">
        <v>55</v>
      </c>
      <c r="J27" s="318"/>
      <c r="K27" s="318"/>
      <c r="L27" s="318"/>
      <c r="M27" s="66" t="s">
        <v>56</v>
      </c>
      <c r="N27" s="67">
        <f>IF($I$11=$A$58,0,ROUND((((1+N18+N19+N20)*(1+N21)*(1+N22)/(1-(N23+N24+N25)))-1),4))</f>
        <v>0.2009</v>
      </c>
      <c r="O27" s="110" t="str">
        <f>IF(Q11&lt;&gt;"Sim","",O26)</f>
        <v/>
      </c>
      <c r="P27" s="319"/>
      <c r="Q27" s="319"/>
      <c r="R27" s="319"/>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16" t="s">
        <v>117</v>
      </c>
      <c r="K29" s="316"/>
      <c r="L29" s="316"/>
      <c r="M29" s="316"/>
      <c r="N29" s="316"/>
      <c r="O29" s="316"/>
      <c r="P29" s="316"/>
      <c r="Q29" s="316"/>
      <c r="R29" s="316"/>
      <c r="V29" s="111" t="b">
        <v>0</v>
      </c>
      <c r="W29" s="52" t="s">
        <v>119</v>
      </c>
    </row>
    <row r="30" spans="2:22" ht="7.5" customHeight="1">
      <c r="B30" s="54"/>
      <c r="E30" s="55"/>
      <c r="F30" s="55"/>
      <c r="G30" s="55"/>
      <c r="V30" s="111"/>
    </row>
    <row r="31" spans="2:18" ht="18.75" customHeight="1">
      <c r="B31" s="54"/>
      <c r="E31" s="55"/>
      <c r="F31" s="55"/>
      <c r="G31" s="55"/>
      <c r="I31" s="321" t="s">
        <v>61</v>
      </c>
      <c r="J31" s="321"/>
      <c r="K31" s="321"/>
      <c r="L31" s="321"/>
      <c r="M31" s="321"/>
      <c r="N31" s="321"/>
      <c r="O31" s="321"/>
      <c r="P31" s="321"/>
      <c r="Q31" s="321"/>
      <c r="R31" s="321"/>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37" t="str">
        <f>IF(Q11="Sim","BDI.DES =","BDI.PAD =")</f>
        <v>BDI.PAD =</v>
      </c>
      <c r="M32" s="335" t="str">
        <f>IF($I$11=$A$59,"(1+K1+K2)*(1+K3)","(1+AC + S + R + G)*(1 + DF)*(1+L)")</f>
        <v>(1+AC + S + R + G)*(1 + DF)*(1+L)</v>
      </c>
      <c r="N32" s="335"/>
      <c r="O32" s="335"/>
      <c r="P32" s="333"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37"/>
      <c r="M33" s="336" t="str">
        <f>IF(Q11="Sim","(1-CP-ISS-CRPB)","(1-CP-ISS)")</f>
        <v>(1-CP-ISS)</v>
      </c>
      <c r="N33" s="336"/>
      <c r="O33" s="336"/>
      <c r="P33" s="334"/>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2"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2%.</v>
      </c>
      <c r="J35" s="322"/>
      <c r="K35" s="322"/>
      <c r="L35" s="322"/>
      <c r="M35" s="322"/>
      <c r="N35" s="322"/>
      <c r="O35" s="322"/>
      <c r="P35" s="322"/>
      <c r="Q35" s="322"/>
      <c r="R35" s="322"/>
    </row>
    <row r="36" spans="2:7" ht="11.25" customHeight="1">
      <c r="B36" s="59"/>
      <c r="E36" s="55"/>
      <c r="F36" s="55"/>
      <c r="G36" s="55"/>
    </row>
    <row r="37" spans="2:18" ht="52.5" customHeight="1">
      <c r="B37" s="59"/>
      <c r="E37" s="55"/>
      <c r="F37" s="55"/>
      <c r="G37" s="55"/>
      <c r="I37" s="322"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2"/>
      <c r="K37" s="322"/>
      <c r="L37" s="322"/>
      <c r="M37" s="322"/>
      <c r="N37" s="322"/>
      <c r="O37" s="322"/>
      <c r="P37" s="322"/>
      <c r="Q37" s="322"/>
      <c r="R37" s="322"/>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24"/>
      <c r="J40" s="325"/>
      <c r="K40" s="325"/>
      <c r="L40" s="325"/>
      <c r="M40" s="325"/>
      <c r="N40" s="325"/>
      <c r="O40" s="325"/>
      <c r="P40" s="325"/>
      <c r="Q40" s="325"/>
      <c r="R40" s="326"/>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30" t="str">
        <f>PO!K71</f>
        <v>Riqueza / SC</v>
      </c>
      <c r="J42" s="330"/>
      <c r="K42" s="330"/>
      <c r="L42" s="330"/>
      <c r="O42" s="338">
        <f ca="1">PO!K74</f>
        <v>43061</v>
      </c>
      <c r="P42" s="338"/>
      <c r="Q42" s="338"/>
      <c r="R42" s="338"/>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23" t="s">
        <v>120</v>
      </c>
      <c r="J43" s="323"/>
      <c r="K43" s="323"/>
      <c r="L43" s="323"/>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0"/>
      <c r="J45" s="320"/>
      <c r="K45" s="320"/>
      <c r="L45" s="320"/>
      <c r="M45" s="69"/>
      <c r="N45" s="69"/>
      <c r="O45" s="320"/>
      <c r="P45" s="320"/>
      <c r="Q45" s="320"/>
      <c r="R45" s="320"/>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7" t="s">
        <v>57</v>
      </c>
      <c r="J46" s="327"/>
      <c r="K46" s="327"/>
      <c r="L46" s="327"/>
      <c r="M46" s="70"/>
      <c r="N46" s="70"/>
      <c r="O46" s="327" t="s">
        <v>58</v>
      </c>
      <c r="P46" s="327"/>
      <c r="Q46" s="327"/>
      <c r="R46" s="327"/>
    </row>
    <row r="47" spans="1:18" ht="13.8">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5">
        <f>DADOS!B54</f>
        <v>0</v>
      </c>
      <c r="K47" s="315"/>
      <c r="L47" s="315"/>
      <c r="M47" s="71"/>
      <c r="N47" s="71"/>
      <c r="O47" s="29" t="s">
        <v>140</v>
      </c>
      <c r="P47" s="328"/>
      <c r="Q47" s="328"/>
      <c r="R47" s="328"/>
    </row>
    <row r="48" spans="1:18" ht="13.8">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5">
        <f>DADOS!B55</f>
        <v>0</v>
      </c>
      <c r="K48" s="315"/>
      <c r="L48" s="315"/>
      <c r="M48" s="71"/>
      <c r="N48" s="71"/>
      <c r="O48" s="29" t="s">
        <v>60</v>
      </c>
      <c r="P48" s="328"/>
      <c r="Q48" s="328"/>
      <c r="R48" s="328"/>
    </row>
    <row r="49" spans="1:18" ht="13.8">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5">
        <f>DADOS!B56</f>
        <v>0</v>
      </c>
      <c r="K49" s="315"/>
      <c r="L49" s="315"/>
      <c r="M49" s="71"/>
      <c r="N49" s="71"/>
      <c r="O49" s="71"/>
      <c r="P49" s="71"/>
      <c r="Q49" s="71"/>
      <c r="R49" s="71"/>
    </row>
    <row r="50" spans="9:12" ht="12.75">
      <c r="I50" s="29" t="str">
        <f>DADOS!A57</f>
        <v>CNPJ:</v>
      </c>
      <c r="J50" s="315">
        <f>DADOS!B57</f>
        <v>0</v>
      </c>
      <c r="K50" s="315"/>
      <c r="L50" s="315"/>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3.8" hidden="1">
      <c r="A60" s="72"/>
      <c r="B60" s="71"/>
      <c r="C60" s="71"/>
      <c r="D60" s="71"/>
      <c r="E60" s="71"/>
      <c r="F60" s="71"/>
      <c r="G60" s="71"/>
    </row>
  </sheetData>
  <sheetProtection password="C95B" sheet="1" objects="1" scenarios="1"/>
  <mergeCells count="55">
    <mergeCell ref="P48:R48"/>
    <mergeCell ref="I45:L45"/>
    <mergeCell ref="I13:P13"/>
    <mergeCell ref="P16:P17"/>
    <mergeCell ref="Q16:Q17"/>
    <mergeCell ref="N16:N17"/>
    <mergeCell ref="I16:L17"/>
    <mergeCell ref="O16:O17"/>
    <mergeCell ref="Q13:R13"/>
    <mergeCell ref="I14:P14"/>
    <mergeCell ref="Q14:R14"/>
    <mergeCell ref="R16:R17"/>
    <mergeCell ref="I37:R3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M16:M17"/>
    <mergeCell ref="P32:P33"/>
    <mergeCell ref="M32:O32"/>
    <mergeCell ref="M33:O33"/>
    <mergeCell ref="L32:L33"/>
    <mergeCell ref="O42:R42"/>
    <mergeCell ref="J50:L50"/>
    <mergeCell ref="J29:R29"/>
    <mergeCell ref="I26:L26"/>
    <mergeCell ref="I27:L27"/>
    <mergeCell ref="P27:R27"/>
    <mergeCell ref="O45:R45"/>
    <mergeCell ref="I31:R31"/>
    <mergeCell ref="I35:R35"/>
    <mergeCell ref="I43:L43"/>
    <mergeCell ref="J49:L49"/>
    <mergeCell ref="I40:R40"/>
    <mergeCell ref="I46:L46"/>
    <mergeCell ref="O46:R46"/>
    <mergeCell ref="J47:L47"/>
    <mergeCell ref="P47:R47"/>
    <mergeCell ref="J48:L48"/>
  </mergeCells>
  <conditionalFormatting sqref="O42">
    <cfRule type="expression" priority="6" dxfId="73" stopIfTrue="1">
      <formula>$O$42=""</formula>
    </cfRule>
  </conditionalFormatting>
  <conditionalFormatting sqref="O18:O27">
    <cfRule type="expression" priority="11" dxfId="78" stopIfTrue="1">
      <formula>AND(O18&lt;&gt;"OK",O18&lt;&gt;"-",O18&lt;&gt;"")</formula>
    </cfRule>
    <cfRule type="cellIs" priority="12" dxfId="77" operator="equal" stopIfTrue="1">
      <formula>"OK"</formula>
    </cfRule>
  </conditionalFormatting>
  <conditionalFormatting sqref="I26:N26">
    <cfRule type="expression" priority="10" dxfId="76" stopIfTrue="1">
      <formula>$Q$11="Não"</formula>
    </cfRule>
  </conditionalFormatting>
  <conditionalFormatting sqref="I27:N27">
    <cfRule type="expression" priority="9" dxfId="75" stopIfTrue="1">
      <formula>$Q$11="sim"</formula>
    </cfRule>
  </conditionalFormatting>
  <conditionalFormatting sqref="P27:R27">
    <cfRule type="expression" priority="8" dxfId="74" stopIfTrue="1">
      <formula>$Q$11="sim"</formula>
    </cfRule>
  </conditionalFormatting>
  <conditionalFormatting sqref="P47:R48">
    <cfRule type="expression" priority="7" dxfId="73" stopIfTrue="1">
      <formula>P47=""</formula>
    </cfRule>
  </conditionalFormatting>
  <conditionalFormatting sqref="I29:R29">
    <cfRule type="expression" priority="3" dxfId="72" stopIfTrue="1">
      <formula>AND(NOT($V$27),NOT($V$29))</formula>
    </cfRule>
  </conditionalFormatting>
  <conditionalFormatting sqref="P18:R26">
    <cfRule type="expression" priority="2" dxfId="71"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v007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tabColor rgb="FFFFFF00"/>
    <pageSetUpPr fitToPage="1"/>
  </sheetPr>
  <dimension ref="A1:AA75"/>
  <sheetViews>
    <sheetView showGridLines="0" tabSelected="1" zoomScale="80" zoomScaleNormal="80" zoomScaleSheetLayoutView="100" workbookViewId="0" topLeftCell="J1">
      <pane ySplit="12" topLeftCell="A13" activePane="bottomLeft" state="frozen"/>
      <selection pane="bottomLeft" activeCell="Y13" sqref="Y13:Y59"/>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6" t="s">
        <v>181</v>
      </c>
      <c r="X2" s="356"/>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4.9" customHeight="1">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9" customHeight="1">
      <c r="A5" s="9">
        <f>MAX($A$12:$A$60)</f>
        <v>2</v>
      </c>
      <c r="B5" s="4"/>
      <c r="D5" s="117"/>
      <c r="F5" s="5"/>
      <c r="G5" s="4"/>
      <c r="H5" s="4"/>
      <c r="I5" s="4"/>
      <c r="J5" s="4"/>
      <c r="K5" s="4"/>
      <c r="L5" s="4"/>
      <c r="M5" s="4"/>
      <c r="N5" s="4"/>
      <c r="O5" s="4"/>
      <c r="P5" s="4"/>
      <c r="Q5" s="4"/>
      <c r="R5" s="4"/>
      <c r="S5" s="4"/>
      <c r="T5" s="4"/>
      <c r="U5" s="119" t="str">
        <f ca="1">IF(COUNTIF($U$12:OFFSET($U$60,-1,0),"DESCRIÇÃO")+COUNTIF($U$12:OFFSET($U$60,-1,0),"UNIDADE")+COUNTIF($U$12:OFFSET($U$60,-1,0),"SEM VALOR")&gt;0,"NÃO OK","OK")</f>
        <v>NÃO OK</v>
      </c>
      <c r="V5" s="212" t="s">
        <v>106</v>
      </c>
      <c r="W5" s="211" t="s">
        <v>183</v>
      </c>
      <c r="X5" s="214" t="b">
        <v>1</v>
      </c>
      <c r="Y5" s="4"/>
      <c r="Z5" s="4"/>
      <c r="AA5" s="4"/>
    </row>
    <row r="6" spans="1:27" ht="24.9"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4.9"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2.75" customHeight="1"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IF(OR($A11="S",$A11=0),0,MATCH(0,OFFSET($B11,1,$A11,ROW($A$60)-ROW($A11)),0))</f>
        <v>0</v>
      </c>
      <c r="I11">
        <f ca="1">IF(OR($A11="S",$A11=0),0,MATCH(OFFSET($B11,0,$A11)+1,OFFSET($B11,1,$A11,ROW($A$60)-ROW($A11)),0))</f>
        <v>0</v>
      </c>
      <c r="J11" s="120" t="s">
        <v>103</v>
      </c>
      <c r="K11" s="162" t="e">
        <f ca="1">IF($A11=0,"-",CONCATENATE(C11&amp;".",IF(AND($A$5&gt;=2,$A11&gt;=2),D11&amp;".",""),IF(AND($A$5&gt;=3,$A11&gt;=3),E11&amp;".",""),IF(AND($A$5&gt;=4,$A11&gt;=4),F11&amp;".",""),IF($A11="S",G11&amp;".","")))</f>
        <v>#VALUE!</v>
      </c>
      <c r="L11" s="209"/>
      <c r="M11" s="209"/>
      <c r="N11" s="231" t="str">
        <f ca="1">IF($A11="S",Referencia.Descricao,"(digite a descrição aqui)")</f>
        <v/>
      </c>
      <c r="O11" s="230" t="str">
        <f ca="1">Referencia.Unidade</f>
        <v/>
      </c>
      <c r="P11" s="225">
        <f ca="1">OFFSET(PLQ!$E$12,ROW($P11)-ROW(P$12),0)</f>
        <v>0</v>
      </c>
      <c r="Q11" s="229"/>
      <c r="R11" s="232" t="s">
        <v>7</v>
      </c>
      <c r="S11" s="121">
        <f>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0.2009</v>
      </c>
      <c r="AA11" s="4"/>
    </row>
    <row r="12" spans="1:27" ht="12.75">
      <c r="A12">
        <v>0</v>
      </c>
      <c r="B12">
        <f ca="1">COUNTA(OFFSET(B12,1,0):B$60)</f>
        <v>47</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SUMIF(OFFSET($J12,1,0,ROW(T60)-ROW(T12)-1),"Serviço",OFFSET(T12,1,0,ROW(T60)-ROW(T12)-1))</f>
        <v>0</v>
      </c>
      <c r="U12" s="13" t="str">
        <f>IF($N12=0,"DESCRIÇÃO","")</f>
        <v>DESCRIÇÃO</v>
      </c>
      <c r="V12" s="4">
        <v>0</v>
      </c>
      <c r="W12" s="4"/>
      <c r="X12" s="4"/>
      <c r="Y12" s="11"/>
      <c r="Z12" s="133"/>
      <c r="AA12" s="4"/>
    </row>
    <row r="13" spans="1:27" ht="12.75">
      <c r="A13">
        <f aca="true" t="shared" si="0" ref="A13:A59">CHOOSE(1+LOG(1+2*(J13="Meta")+4*(J13="Nível 2")+8*(J13="Nível 3")+16*(J13="Nível 4")+32*(J13="Serviço"),2),0,1,2,3,4,"S")</f>
        <v>1</v>
      </c>
      <c r="B13">
        <f aca="true" t="shared" si="1" ref="B13:B59">IF(OR(A13="S",A13=0),0,IF(ISERROR(I13),H13,SMALL(H13:I13,1)))</f>
        <v>47</v>
      </c>
      <c r="C13">
        <f aca="true" ca="1" t="shared" si="2" ref="C13:C59">IF($A13=1,OFFSET(C13,-1,0)+1,OFFSET(C13,-1,0))</f>
        <v>1</v>
      </c>
      <c r="D13">
        <f aca="true" ca="1" t="shared" si="3" ref="D13:D59">IF($A13=1,0,IF($A13=2,OFFSET(D13,-1,0)+1,OFFSET(D13,-1,0)))</f>
        <v>0</v>
      </c>
      <c r="E13">
        <f aca="true" ca="1" t="shared" si="4" ref="E13:E59">IF(AND($A13&lt;=2,$A13&lt;&gt;0),0,IF($A13=3,OFFSET(E13,-1,0)+1,OFFSET(E13,-1,0)))</f>
        <v>0</v>
      </c>
      <c r="F13">
        <f aca="true" ca="1" t="shared" si="5" ref="F13:F59">IF(AND($A13&lt;=3,$A13&lt;&gt;0),0,IF($A13=4,OFFSET(F13,-1,0)+1,OFFSET(F13,-1,0)))</f>
        <v>0</v>
      </c>
      <c r="G13">
        <f aca="true" ca="1" t="shared" si="6" ref="G13:G59">IF(AND($A13&lt;=4,$A13&lt;&gt;0),0,IF($A13="S",OFFSET(G13,-1,0)+1,OFFSET(G13,-1,0)))</f>
        <v>0</v>
      </c>
      <c r="H13">
        <f aca="true" ca="1" t="shared" si="7" ref="H13:H59">IF(OR($A13="S",$A13=0),0,MATCH(0,OFFSET($B13,1,$A13,ROW($A$60)-ROW($A13)),0))</f>
        <v>47</v>
      </c>
      <c r="I13" t="e">
        <f aca="true" ca="1" t="shared" si="8" ref="I13:I59">IF(OR($A13="S",$A13=0),0,MATCH(OFFSET($B13,0,$A13)+1,OFFSET($B13,1,$A13,ROW($A$60)-ROW($A13)),0))</f>
        <v>#N/A</v>
      </c>
      <c r="J13" s="164" t="s">
        <v>99</v>
      </c>
      <c r="K13" s="162" t="str">
        <f aca="true" t="shared" si="9" ref="K13:K59">IF($A13=0,"-",CONCATENATE(C13&amp;".",IF(AND($A$5&gt;=2,$A13&gt;=2),D13&amp;".",""),IF(AND($A$5&gt;=3,$A13&gt;=3),E13&amp;".",""),IF(AND($A$5&gt;=4,$A13&gt;=4),F13&amp;".",""),IF($A13="S",G13&amp;".","")))</f>
        <v>1.</v>
      </c>
      <c r="L13" s="395"/>
      <c r="M13" s="395"/>
      <c r="N13" s="396" t="s">
        <v>257</v>
      </c>
      <c r="O13" s="397"/>
      <c r="P13" s="225">
        <f ca="1">OFFSET(PLQ!$E$12,ROW($P13)-ROW(P$12),0)</f>
        <v>0</v>
      </c>
      <c r="Q13" s="229"/>
      <c r="R13" s="232" t="s">
        <v>7</v>
      </c>
      <c r="S13" s="121">
        <f aca="true" t="shared" si="10" ref="S13:S59">IF($A13="S",IF($Q$10="Preço Unitário (R$)",PO.CustoUnitario,ROUND(PO.CustoUnitario*(1+$Z13),15-13*$X$6)),0)</f>
        <v>0</v>
      </c>
      <c r="T13" s="98">
        <f aca="true" ca="1" t="shared" si="11" ref="T13:T59">IF($A13="S",VTOTAL1,IF($A13=0,0,ROUND(SomaAgrup,15-13*$X$7)))</f>
        <v>0</v>
      </c>
      <c r="U13" s="13" t="str">
        <f aca="true" t="shared" si="12" ref="U13:U59">IF($J13="","",IF($N13="","DESCRIÇÃO",IF(AND($J13="Serviço",$O13=""),"UNIDADE",IF($T13&lt;=0,"SEM VALOR",IF(AND($Y13&lt;&gt;"",$Q13&gt;$Y13),"ACIMA REF.","")))))</f>
        <v>SEM VALOR</v>
      </c>
      <c r="V13" s="4">
        <f ca="1">IF(OR($A13=0,$A13="S",$A13&gt;CFF!$A$9),"",MAX(V$12:OFFSET(V13,-1,0))+1)</f>
        <v>1</v>
      </c>
      <c r="W13" s="9" t="b">
        <f aca="true" t="shared" si="13" ref="W13:W59">IF(AND($J13="Serviço",$M13&lt;&gt;""),IF($L13="",$M13,CONCATENATE($L13,"-",$M13)))</f>
        <v>0</v>
      </c>
      <c r="X13" s="4" t="str">
        <f aca="true" t="shared" si="14" ref="X13:X59">IF(AND(Fonte&lt;&gt;"",Código&lt;&gt;""),MATCH(Fonte&amp;" "&amp;IF(Fonte="sinapi",SUBSTITUTE(SUBSTITUTE(Código,"/00","/"),"/0","/"),Código),INDIRECT("'[Referência "&amp;_XLNM.DATABASE&amp;".xls]Banco'!$a:$a"),0),"X")</f>
        <v>X</v>
      </c>
      <c r="Y13" s="121">
        <v>0</v>
      </c>
      <c r="Z13" s="132">
        <f ca="1">ROUND(IF(ISNUMBER(R13),R13,IF(LEFT(R13,3)="BDI",HLOOKUP(R13,DADOS!$T$37:$X$38,2,FALSE),0)),15-11*$X$5)</f>
        <v>0.2009</v>
      </c>
      <c r="AA13" s="4"/>
    </row>
    <row r="14" spans="1:27" ht="12.75" customHeight="1">
      <c r="A14">
        <f t="shared" si="0"/>
        <v>2</v>
      </c>
      <c r="B14">
        <f ca="1" t="shared" si="1"/>
        <v>2</v>
      </c>
      <c r="C14">
        <f ca="1" t="shared" si="2"/>
        <v>1</v>
      </c>
      <c r="D14">
        <f ca="1" t="shared" si="3"/>
        <v>1</v>
      </c>
      <c r="E14">
        <f ca="1" t="shared" si="4"/>
        <v>0</v>
      </c>
      <c r="F14">
        <f ca="1" t="shared" si="5"/>
        <v>0</v>
      </c>
      <c r="G14">
        <f ca="1" t="shared" si="6"/>
        <v>0</v>
      </c>
      <c r="H14">
        <f ca="1" t="shared" si="7"/>
        <v>46</v>
      </c>
      <c r="I14">
        <f ca="1" t="shared" si="8"/>
        <v>2</v>
      </c>
      <c r="J14" s="394" t="s">
        <v>100</v>
      </c>
      <c r="K14" s="162" t="str">
        <f ca="1" t="shared" si="9"/>
        <v>1.1.</v>
      </c>
      <c r="L14" s="395"/>
      <c r="M14" s="395"/>
      <c r="N14" s="396" t="s">
        <v>258</v>
      </c>
      <c r="O14" s="397"/>
      <c r="P14" s="225">
        <f ca="1">OFFSET(PLQ!$E$12,ROW($P14)-ROW(P$12),0)</f>
        <v>0</v>
      </c>
      <c r="Q14" s="229"/>
      <c r="R14" s="232"/>
      <c r="S14" s="121">
        <f t="shared" si="10"/>
        <v>0</v>
      </c>
      <c r="T14" s="98">
        <f ca="1" t="shared" si="11"/>
        <v>0</v>
      </c>
      <c r="U14" s="13" t="str">
        <f ca="1" t="shared" si="12"/>
        <v>SEM VALOR</v>
      </c>
      <c r="V14" s="4">
        <f ca="1">IF(OR($A14=0,$A14="S",$A14&gt;CFF!$A$9),"",MAX(V$12:OFFSET(V14,-1,0))+1)</f>
        <v>2</v>
      </c>
      <c r="W14" s="9" t="b">
        <f t="shared" si="13"/>
        <v>0</v>
      </c>
      <c r="X14" s="4" t="str">
        <f ca="1" t="shared" si="14"/>
        <v>X</v>
      </c>
      <c r="Y14" s="121">
        <v>0</v>
      </c>
      <c r="Z14" s="132">
        <f>ROUND(IF(ISNUMBER(R14),R14,IF(LEFT(R14,3)="BDI",HLOOKUP(R14,DADOS!$T$37:$X$38,2,FALSE),0)),15-11*$X$5)</f>
        <v>0</v>
      </c>
      <c r="AA14" s="4"/>
    </row>
    <row r="15" spans="1:27" ht="12.75" customHeight="1">
      <c r="A15" t="str">
        <f t="shared" si="0"/>
        <v>S</v>
      </c>
      <c r="B15">
        <f t="shared" si="1"/>
        <v>0</v>
      </c>
      <c r="C15">
        <f ca="1" t="shared" si="2"/>
        <v>1</v>
      </c>
      <c r="D15">
        <f ca="1" t="shared" si="3"/>
        <v>1</v>
      </c>
      <c r="E15">
        <f ca="1" t="shared" si="4"/>
        <v>0</v>
      </c>
      <c r="F15">
        <f ca="1" t="shared" si="5"/>
        <v>0</v>
      </c>
      <c r="G15">
        <f ca="1" t="shared" si="6"/>
        <v>1</v>
      </c>
      <c r="H15">
        <f ca="1" t="shared" si="7"/>
        <v>0</v>
      </c>
      <c r="I15">
        <f ca="1" t="shared" si="8"/>
        <v>0</v>
      </c>
      <c r="J15" s="394" t="s">
        <v>103</v>
      </c>
      <c r="K15" s="162" t="str">
        <f ca="1" t="shared" si="9"/>
        <v>1.1.1.</v>
      </c>
      <c r="L15" s="395" t="s">
        <v>232</v>
      </c>
      <c r="M15" s="395" t="s">
        <v>234</v>
      </c>
      <c r="N15" s="396" t="s">
        <v>233</v>
      </c>
      <c r="O15" s="397" t="s">
        <v>229</v>
      </c>
      <c r="P15" s="225">
        <f ca="1">OFFSET(PLQ!$E$12,ROW($P15)-ROW(P$12),0)</f>
        <v>2.5</v>
      </c>
      <c r="Q15" s="229"/>
      <c r="R15" s="232" t="s">
        <v>7</v>
      </c>
      <c r="S15" s="121">
        <f t="shared" si="10"/>
        <v>0</v>
      </c>
      <c r="T15" s="98">
        <f ca="1" t="shared" si="11"/>
        <v>0</v>
      </c>
      <c r="U15" s="13" t="str">
        <f ca="1" t="shared" si="12"/>
        <v>SEM VALOR</v>
      </c>
      <c r="V15" s="4" t="str">
        <f ca="1">IF(OR($A15=0,$A15="S",$A15&gt;CFF!$A$9),"",MAX(V$12:OFFSET(V15,-1,0))+1)</f>
        <v/>
      </c>
      <c r="W15" s="9" t="str">
        <f t="shared" si="13"/>
        <v>SINAPI-74209/001</v>
      </c>
      <c r="X15" s="4" t="e">
        <f ca="1" t="shared" si="14"/>
        <v>#REF!</v>
      </c>
      <c r="Y15" s="121">
        <v>375.77</v>
      </c>
      <c r="Z15" s="132">
        <f ca="1">ROUND(IF(ISNUMBER(R15),R15,IF(LEFT(R15,3)="BDI",HLOOKUP(R15,DADOS!$T$37:$X$38,2,FALSE),0)),15-11*$X$5)</f>
        <v>0.2009</v>
      </c>
      <c r="AA15" s="4"/>
    </row>
    <row r="16" spans="1:27" ht="12.75" customHeight="1">
      <c r="A16">
        <f t="shared" si="0"/>
        <v>2</v>
      </c>
      <c r="B16">
        <f ca="1" t="shared" si="1"/>
        <v>2</v>
      </c>
      <c r="C16">
        <f ca="1" t="shared" si="2"/>
        <v>1</v>
      </c>
      <c r="D16">
        <f ca="1" t="shared" si="3"/>
        <v>2</v>
      </c>
      <c r="E16">
        <f ca="1" t="shared" si="4"/>
        <v>0</v>
      </c>
      <c r="F16">
        <f ca="1" t="shared" si="5"/>
        <v>0</v>
      </c>
      <c r="G16">
        <f ca="1" t="shared" si="6"/>
        <v>0</v>
      </c>
      <c r="H16">
        <f ca="1" t="shared" si="7"/>
        <v>44</v>
      </c>
      <c r="I16">
        <f ca="1" t="shared" si="8"/>
        <v>2</v>
      </c>
      <c r="J16" s="394" t="s">
        <v>100</v>
      </c>
      <c r="K16" s="162" t="str">
        <f ca="1" t="shared" si="9"/>
        <v>1.2.</v>
      </c>
      <c r="L16" s="395"/>
      <c r="M16" s="395"/>
      <c r="N16" s="396" t="s">
        <v>236</v>
      </c>
      <c r="O16" s="397"/>
      <c r="P16" s="225">
        <f ca="1">OFFSET(PLQ!$E$12,ROW($P16)-ROW(P$12),0)</f>
        <v>0</v>
      </c>
      <c r="Q16" s="229"/>
      <c r="R16" s="232" t="s">
        <v>7</v>
      </c>
      <c r="S16" s="121">
        <f t="shared" si="10"/>
        <v>0</v>
      </c>
      <c r="T16" s="98">
        <f ca="1" t="shared" si="11"/>
        <v>0</v>
      </c>
      <c r="U16" s="13" t="str">
        <f ca="1" t="shared" si="12"/>
        <v>SEM VALOR</v>
      </c>
      <c r="V16" s="4">
        <f ca="1">IF(OR($A16=0,$A16="S",$A16&gt;CFF!$A$9),"",MAX(V$12:OFFSET(V16,-1,0))+1)</f>
        <v>3</v>
      </c>
      <c r="W16" s="9" t="b">
        <f t="shared" si="13"/>
        <v>0</v>
      </c>
      <c r="X16" s="4" t="str">
        <f ca="1" t="shared" si="14"/>
        <v>X</v>
      </c>
      <c r="Y16" s="121">
        <v>0</v>
      </c>
      <c r="Z16" s="132">
        <f ca="1">ROUND(IF(ISNUMBER(R16),R16,IF(LEFT(R16,3)="BDI",HLOOKUP(R16,DADOS!$T$37:$X$38,2,FALSE),0)),15-11*$X$5)</f>
        <v>0.2009</v>
      </c>
      <c r="AA16" s="4"/>
    </row>
    <row r="17" spans="1:27" ht="12.75" customHeight="1">
      <c r="A17" t="str">
        <f t="shared" si="0"/>
        <v>S</v>
      </c>
      <c r="B17">
        <f t="shared" si="1"/>
        <v>0</v>
      </c>
      <c r="C17">
        <f ca="1" t="shared" si="2"/>
        <v>1</v>
      </c>
      <c r="D17">
        <f ca="1" t="shared" si="3"/>
        <v>2</v>
      </c>
      <c r="E17">
        <f ca="1" t="shared" si="4"/>
        <v>0</v>
      </c>
      <c r="F17">
        <f ca="1" t="shared" si="5"/>
        <v>0</v>
      </c>
      <c r="G17">
        <f ca="1" t="shared" si="6"/>
        <v>1</v>
      </c>
      <c r="H17">
        <f ca="1" t="shared" si="7"/>
        <v>0</v>
      </c>
      <c r="I17">
        <f ca="1" t="shared" si="8"/>
        <v>0</v>
      </c>
      <c r="J17" s="394" t="s">
        <v>103</v>
      </c>
      <c r="K17" s="162" t="str">
        <f ca="1" t="shared" si="9"/>
        <v>1.2.1.</v>
      </c>
      <c r="L17" s="395" t="s">
        <v>321</v>
      </c>
      <c r="M17" s="395" t="s">
        <v>46</v>
      </c>
      <c r="N17" s="396" t="s">
        <v>322</v>
      </c>
      <c r="O17" s="397" t="s">
        <v>235</v>
      </c>
      <c r="P17" s="225">
        <f ca="1">OFFSET(PLQ!$E$12,ROW($P17)-ROW(P$12),0)</f>
        <v>1</v>
      </c>
      <c r="Q17" s="229"/>
      <c r="R17" s="232" t="s">
        <v>7</v>
      </c>
      <c r="S17" s="121">
        <f t="shared" si="10"/>
        <v>0</v>
      </c>
      <c r="T17" s="98">
        <f ca="1" t="shared" si="11"/>
        <v>0</v>
      </c>
      <c r="U17" s="13" t="str">
        <f ca="1" t="shared" si="12"/>
        <v>SEM VALOR</v>
      </c>
      <c r="V17" s="4" t="str">
        <f ca="1">IF(OR($A17=0,$A17="S",$A17&gt;CFF!$A$9),"",MAX(V$12:OFFSET(V17,-1,0))+1)</f>
        <v/>
      </c>
      <c r="W17" s="9" t="str">
        <f t="shared" si="13"/>
        <v>Composição 03--</v>
      </c>
      <c r="X17" s="4" t="e">
        <f ca="1" t="shared" si="14"/>
        <v>#REF!</v>
      </c>
      <c r="Y17" s="121">
        <v>1563.86</v>
      </c>
      <c r="Z17" s="132">
        <f ca="1">ROUND(IF(ISNUMBER(R17),R17,IF(LEFT(R17,3)="BDI",HLOOKUP(R17,DADOS!$T$37:$X$38,2,FALSE),0)),15-11*$X$5)</f>
        <v>0.2009</v>
      </c>
      <c r="AA17" s="4"/>
    </row>
    <row r="18" spans="1:27" ht="12.75" customHeight="1">
      <c r="A18">
        <f t="shared" si="0"/>
        <v>2</v>
      </c>
      <c r="B18">
        <f ca="1" t="shared" si="1"/>
        <v>2</v>
      </c>
      <c r="C18">
        <f ca="1" t="shared" si="2"/>
        <v>1</v>
      </c>
      <c r="D18">
        <f ca="1" t="shared" si="3"/>
        <v>3</v>
      </c>
      <c r="E18">
        <f ca="1" t="shared" si="4"/>
        <v>0</v>
      </c>
      <c r="F18">
        <f ca="1" t="shared" si="5"/>
        <v>0</v>
      </c>
      <c r="G18">
        <f ca="1" t="shared" si="6"/>
        <v>0</v>
      </c>
      <c r="H18">
        <f ca="1" t="shared" si="7"/>
        <v>42</v>
      </c>
      <c r="I18">
        <f ca="1" t="shared" si="8"/>
        <v>2</v>
      </c>
      <c r="J18" s="394" t="s">
        <v>100</v>
      </c>
      <c r="K18" s="162" t="str">
        <f ca="1" t="shared" si="9"/>
        <v>1.3.</v>
      </c>
      <c r="L18" s="395"/>
      <c r="M18" s="395"/>
      <c r="N18" s="396" t="s">
        <v>237</v>
      </c>
      <c r="O18" s="397"/>
      <c r="P18" s="225">
        <f ca="1">OFFSET(PLQ!$E$12,ROW($P18)-ROW(P$12),0)</f>
        <v>0</v>
      </c>
      <c r="Q18" s="229"/>
      <c r="R18" s="232" t="s">
        <v>7</v>
      </c>
      <c r="S18" s="121">
        <f t="shared" si="10"/>
        <v>0</v>
      </c>
      <c r="T18" s="98">
        <f ca="1" t="shared" si="11"/>
        <v>0</v>
      </c>
      <c r="U18" s="13" t="str">
        <f ca="1" t="shared" si="12"/>
        <v>SEM VALOR</v>
      </c>
      <c r="V18" s="4">
        <f ca="1">IF(OR($A18=0,$A18="S",$A18&gt;CFF!$A$9),"",MAX(V$12:OFFSET(V18,-1,0))+1)</f>
        <v>4</v>
      </c>
      <c r="W18" s="9" t="b">
        <f t="shared" si="13"/>
        <v>0</v>
      </c>
      <c r="X18" s="4" t="str">
        <f ca="1" t="shared" si="14"/>
        <v>X</v>
      </c>
      <c r="Y18" s="121">
        <v>0</v>
      </c>
      <c r="Z18" s="132">
        <f ca="1">ROUND(IF(ISNUMBER(R18),R18,IF(LEFT(R18,3)="BDI",HLOOKUP(R18,DADOS!$T$37:$X$38,2,FALSE),0)),15-11*$X$5)</f>
        <v>0.2009</v>
      </c>
      <c r="AA18" s="4"/>
    </row>
    <row r="19" spans="1:27" ht="12.75" customHeight="1">
      <c r="A19" t="str">
        <f t="shared" si="0"/>
        <v>S</v>
      </c>
      <c r="B19">
        <f t="shared" si="1"/>
        <v>0</v>
      </c>
      <c r="C19">
        <f ca="1" t="shared" si="2"/>
        <v>1</v>
      </c>
      <c r="D19">
        <f ca="1" t="shared" si="3"/>
        <v>3</v>
      </c>
      <c r="E19">
        <f ca="1" t="shared" si="4"/>
        <v>0</v>
      </c>
      <c r="F19">
        <f ca="1" t="shared" si="5"/>
        <v>0</v>
      </c>
      <c r="G19">
        <f ca="1" t="shared" si="6"/>
        <v>1</v>
      </c>
      <c r="H19">
        <f ca="1" t="shared" si="7"/>
        <v>0</v>
      </c>
      <c r="I19">
        <f ca="1" t="shared" si="8"/>
        <v>0</v>
      </c>
      <c r="J19" s="394" t="s">
        <v>103</v>
      </c>
      <c r="K19" s="162" t="str">
        <f ca="1" t="shared" si="9"/>
        <v>1.3.1.</v>
      </c>
      <c r="L19" s="395" t="s">
        <v>232</v>
      </c>
      <c r="M19" s="395" t="s">
        <v>239</v>
      </c>
      <c r="N19" s="396" t="s">
        <v>238</v>
      </c>
      <c r="O19" s="397" t="s">
        <v>229</v>
      </c>
      <c r="P19" s="225">
        <f ca="1">OFFSET(PLQ!$E$12,ROW($P19)-ROW(P$12),0)</f>
        <v>1.64</v>
      </c>
      <c r="Q19" s="229"/>
      <c r="R19" s="232" t="s">
        <v>7</v>
      </c>
      <c r="S19" s="121">
        <f t="shared" si="10"/>
        <v>0</v>
      </c>
      <c r="T19" s="98">
        <f ca="1" t="shared" si="11"/>
        <v>0</v>
      </c>
      <c r="U19" s="13" t="str">
        <f ca="1" t="shared" si="12"/>
        <v>SEM VALOR</v>
      </c>
      <c r="V19" s="4" t="str">
        <f ca="1">IF(OR($A19=0,$A19="S",$A19&gt;CFF!$A$9),"",MAX(V$12:OFFSET(V19,-1,0))+1)</f>
        <v/>
      </c>
      <c r="W19" s="9" t="str">
        <f t="shared" si="13"/>
        <v>SINAPI-34723</v>
      </c>
      <c r="X19" s="4" t="e">
        <f ca="1" t="shared" si="14"/>
        <v>#REF!</v>
      </c>
      <c r="Y19" s="121">
        <v>825.29</v>
      </c>
      <c r="Z19" s="132">
        <f ca="1">ROUND(IF(ISNUMBER(R19),R19,IF(LEFT(R19,3)="BDI",HLOOKUP(R19,DADOS!$T$37:$X$38,2,FALSE),0)),15-11*$X$5)</f>
        <v>0.2009</v>
      </c>
      <c r="AA19" s="4"/>
    </row>
    <row r="20" spans="1:27" ht="12.75" customHeight="1">
      <c r="A20">
        <f t="shared" si="0"/>
        <v>2</v>
      </c>
      <c r="B20">
        <f ca="1" t="shared" si="1"/>
        <v>14</v>
      </c>
      <c r="C20">
        <f ca="1" t="shared" si="2"/>
        <v>1</v>
      </c>
      <c r="D20">
        <f ca="1" t="shared" si="3"/>
        <v>4</v>
      </c>
      <c r="E20">
        <f ca="1" t="shared" si="4"/>
        <v>0</v>
      </c>
      <c r="F20">
        <f ca="1" t="shared" si="5"/>
        <v>0</v>
      </c>
      <c r="G20">
        <f ca="1" t="shared" si="6"/>
        <v>0</v>
      </c>
      <c r="H20">
        <f ca="1" t="shared" si="7"/>
        <v>40</v>
      </c>
      <c r="I20">
        <f ca="1" t="shared" si="8"/>
        <v>14</v>
      </c>
      <c r="J20" s="394" t="s">
        <v>100</v>
      </c>
      <c r="K20" s="162" t="str">
        <f ca="1" t="shared" si="9"/>
        <v>1.4.</v>
      </c>
      <c r="L20" s="395"/>
      <c r="M20" s="395"/>
      <c r="N20" s="396" t="s">
        <v>241</v>
      </c>
      <c r="O20" s="397"/>
      <c r="P20" s="225">
        <f ca="1">OFFSET(PLQ!$E$12,ROW($P20)-ROW(P$12),0)</f>
        <v>0</v>
      </c>
      <c r="Q20" s="229"/>
      <c r="R20" s="232"/>
      <c r="S20" s="121">
        <f t="shared" si="10"/>
        <v>0</v>
      </c>
      <c r="T20" s="98">
        <f ca="1" t="shared" si="11"/>
        <v>0</v>
      </c>
      <c r="U20" s="13" t="str">
        <f ca="1" t="shared" si="12"/>
        <v>SEM VALOR</v>
      </c>
      <c r="V20" s="4">
        <f ca="1">IF(OR($A20=0,$A20="S",$A20&gt;CFF!$A$9),"",MAX(V$12:OFFSET(V20,-1,0))+1)</f>
        <v>5</v>
      </c>
      <c r="W20" s="9" t="b">
        <f t="shared" si="13"/>
        <v>0</v>
      </c>
      <c r="X20" s="4" t="str">
        <f ca="1" t="shared" si="14"/>
        <v>X</v>
      </c>
      <c r="Y20" s="121">
        <v>0</v>
      </c>
      <c r="Z20" s="132">
        <f>ROUND(IF(ISNUMBER(R20),R20,IF(LEFT(R20,3)="BDI",HLOOKUP(R20,DADOS!$T$37:$X$38,2,FALSE),0)),15-11*$X$5)</f>
        <v>0</v>
      </c>
      <c r="AA20" s="4"/>
    </row>
    <row r="21" spans="1:27" ht="12.75" customHeight="1">
      <c r="A21" t="str">
        <f t="shared" si="0"/>
        <v>S</v>
      </c>
      <c r="B21">
        <f t="shared" si="1"/>
        <v>0</v>
      </c>
      <c r="C21">
        <f ca="1" t="shared" si="2"/>
        <v>1</v>
      </c>
      <c r="D21">
        <f ca="1" t="shared" si="3"/>
        <v>4</v>
      </c>
      <c r="E21">
        <f ca="1" t="shared" si="4"/>
        <v>0</v>
      </c>
      <c r="F21">
        <f ca="1" t="shared" si="5"/>
        <v>0</v>
      </c>
      <c r="G21">
        <f ca="1" t="shared" si="6"/>
        <v>1</v>
      </c>
      <c r="H21">
        <f ca="1" t="shared" si="7"/>
        <v>0</v>
      </c>
      <c r="I21">
        <f ca="1" t="shared" si="8"/>
        <v>0</v>
      </c>
      <c r="J21" s="394" t="s">
        <v>103</v>
      </c>
      <c r="K21" s="162" t="str">
        <f ca="1" t="shared" si="9"/>
        <v>1.4.1.</v>
      </c>
      <c r="L21" s="395" t="s">
        <v>232</v>
      </c>
      <c r="M21" s="395" t="s">
        <v>260</v>
      </c>
      <c r="N21" s="396" t="s">
        <v>259</v>
      </c>
      <c r="O21" s="397" t="s">
        <v>240</v>
      </c>
      <c r="P21" s="225">
        <f ca="1">OFFSET(PLQ!$E$12,ROW($P21)-ROW(P$12),0)</f>
        <v>339.31</v>
      </c>
      <c r="Q21" s="229"/>
      <c r="R21" s="232" t="s">
        <v>7</v>
      </c>
      <c r="S21" s="121">
        <f t="shared" si="10"/>
        <v>0</v>
      </c>
      <c r="T21" s="98">
        <f ca="1" t="shared" si="11"/>
        <v>0</v>
      </c>
      <c r="U21" s="13" t="str">
        <f ca="1" t="shared" si="12"/>
        <v>SEM VALOR</v>
      </c>
      <c r="V21" s="4" t="str">
        <f ca="1">IF(OR($A21=0,$A21="S",$A21&gt;CFF!$A$9),"",MAX(V$12:OFFSET(V21,-1,0))+1)</f>
        <v/>
      </c>
      <c r="W21" s="9" t="str">
        <f t="shared" si="13"/>
        <v xml:space="preserve">SINAPI-89886 </v>
      </c>
      <c r="X21" s="4" t="e">
        <f ca="1" t="shared" si="14"/>
        <v>#REF!</v>
      </c>
      <c r="Y21" s="121">
        <v>9.17</v>
      </c>
      <c r="Z21" s="132">
        <f ca="1">ROUND(IF(ISNUMBER(R21),R21,IF(LEFT(R21,3)="BDI",HLOOKUP(R21,DADOS!$T$37:$X$38,2,FALSE),0)),15-11*$X$5)</f>
        <v>0.2009</v>
      </c>
      <c r="AA21" s="4"/>
    </row>
    <row r="22" spans="1:27" ht="12.75" customHeight="1">
      <c r="A22" t="str">
        <f t="shared" si="0"/>
        <v>S</v>
      </c>
      <c r="B22">
        <f t="shared" si="1"/>
        <v>0</v>
      </c>
      <c r="C22">
        <f ca="1" t="shared" si="2"/>
        <v>1</v>
      </c>
      <c r="D22">
        <f ca="1" t="shared" si="3"/>
        <v>4</v>
      </c>
      <c r="E22">
        <f ca="1" t="shared" si="4"/>
        <v>0</v>
      </c>
      <c r="F22">
        <f ca="1" t="shared" si="5"/>
        <v>0</v>
      </c>
      <c r="G22">
        <f ca="1" t="shared" si="6"/>
        <v>2</v>
      </c>
      <c r="H22">
        <f ca="1" t="shared" si="7"/>
        <v>0</v>
      </c>
      <c r="I22">
        <f ca="1" t="shared" si="8"/>
        <v>0</v>
      </c>
      <c r="J22" s="394" t="s">
        <v>103</v>
      </c>
      <c r="K22" s="162" t="str">
        <f ca="1" t="shared" si="9"/>
        <v>1.4.2.</v>
      </c>
      <c r="L22" s="395" t="s">
        <v>232</v>
      </c>
      <c r="M22" s="395" t="s">
        <v>262</v>
      </c>
      <c r="N22" s="396" t="s">
        <v>261</v>
      </c>
      <c r="O22" s="397" t="s">
        <v>240</v>
      </c>
      <c r="P22" s="225">
        <f ca="1">OFFSET(PLQ!$E$12,ROW($P22)-ROW(P$12),0)</f>
        <v>169.65</v>
      </c>
      <c r="Q22" s="229"/>
      <c r="R22" s="232" t="s">
        <v>7</v>
      </c>
      <c r="S22" s="121">
        <f t="shared" si="10"/>
        <v>0</v>
      </c>
      <c r="T22" s="98">
        <f ca="1" t="shared" si="11"/>
        <v>0</v>
      </c>
      <c r="U22" s="13" t="str">
        <f ca="1" t="shared" si="12"/>
        <v>SEM VALOR</v>
      </c>
      <c r="V22" s="4" t="str">
        <f ca="1">IF(OR($A22=0,$A22="S",$A22&gt;CFF!$A$9),"",MAX(V$12:OFFSET(V22,-1,0))+1)</f>
        <v/>
      </c>
      <c r="W22" s="9" t="str">
        <f t="shared" si="13"/>
        <v>SINAPI-93360</v>
      </c>
      <c r="X22" s="4" t="e">
        <f ca="1" t="shared" si="14"/>
        <v>#REF!</v>
      </c>
      <c r="Y22" s="121">
        <v>20.5</v>
      </c>
      <c r="Z22" s="132">
        <f ca="1">ROUND(IF(ISNUMBER(R22),R22,IF(LEFT(R22,3)="BDI",HLOOKUP(R22,DADOS!$T$37:$X$38,2,FALSE),0)),15-11*$X$5)</f>
        <v>0.2009</v>
      </c>
      <c r="AA22" s="4"/>
    </row>
    <row r="23" spans="1:27" ht="12.75" customHeight="1">
      <c r="A23" t="str">
        <f t="shared" si="0"/>
        <v>S</v>
      </c>
      <c r="B23">
        <f t="shared" si="1"/>
        <v>0</v>
      </c>
      <c r="C23">
        <f ca="1" t="shared" si="2"/>
        <v>1</v>
      </c>
      <c r="D23">
        <f ca="1" t="shared" si="3"/>
        <v>4</v>
      </c>
      <c r="E23">
        <f ca="1" t="shared" si="4"/>
        <v>0</v>
      </c>
      <c r="F23">
        <f ca="1" t="shared" si="5"/>
        <v>0</v>
      </c>
      <c r="G23">
        <f ca="1" t="shared" si="6"/>
        <v>3</v>
      </c>
      <c r="H23">
        <f ca="1" t="shared" si="7"/>
        <v>0</v>
      </c>
      <c r="I23">
        <f ca="1" t="shared" si="8"/>
        <v>0</v>
      </c>
      <c r="J23" s="394" t="s">
        <v>103</v>
      </c>
      <c r="K23" s="162" t="str">
        <f ca="1" t="shared" si="9"/>
        <v>1.4.3.</v>
      </c>
      <c r="L23" s="395" t="s">
        <v>232</v>
      </c>
      <c r="M23" s="395" t="s">
        <v>264</v>
      </c>
      <c r="N23" s="396" t="s">
        <v>263</v>
      </c>
      <c r="O23" s="397" t="s">
        <v>240</v>
      </c>
      <c r="P23" s="225">
        <f ca="1">OFFSET(PLQ!$E$12,ROW($P23)-ROW(P$12),0)</f>
        <v>49.79</v>
      </c>
      <c r="Q23" s="229"/>
      <c r="R23" s="232" t="s">
        <v>7</v>
      </c>
      <c r="S23" s="121">
        <f t="shared" si="10"/>
        <v>0</v>
      </c>
      <c r="T23" s="98">
        <f ca="1" t="shared" si="11"/>
        <v>0</v>
      </c>
      <c r="U23" s="13" t="str">
        <f ca="1" t="shared" si="12"/>
        <v>SEM VALOR</v>
      </c>
      <c r="V23" s="4" t="str">
        <f ca="1">IF(OR($A23=0,$A23="S",$A23&gt;CFF!$A$9),"",MAX(V$12:OFFSET(V23,-1,0))+1)</f>
        <v/>
      </c>
      <c r="W23" s="9" t="str">
        <f t="shared" si="13"/>
        <v>SINAPI-73710</v>
      </c>
      <c r="X23" s="4" t="e">
        <f ca="1" t="shared" si="14"/>
        <v>#REF!</v>
      </c>
      <c r="Y23" s="121">
        <v>98.47</v>
      </c>
      <c r="Z23" s="132">
        <f ca="1">ROUND(IF(ISNUMBER(R23),R23,IF(LEFT(R23,3)="BDI",HLOOKUP(R23,DADOS!$T$37:$X$38,2,FALSE),0)),15-11*$X$5)</f>
        <v>0.2009</v>
      </c>
      <c r="AA23" s="4"/>
    </row>
    <row r="24" spans="1:27" ht="12.75" customHeight="1">
      <c r="A24" t="str">
        <f t="shared" si="0"/>
        <v>S</v>
      </c>
      <c r="B24">
        <f t="shared" si="1"/>
        <v>0</v>
      </c>
      <c r="C24">
        <f ca="1" t="shared" si="2"/>
        <v>1</v>
      </c>
      <c r="D24">
        <f ca="1" t="shared" si="3"/>
        <v>4</v>
      </c>
      <c r="E24">
        <f ca="1" t="shared" si="4"/>
        <v>0</v>
      </c>
      <c r="F24">
        <f ca="1" t="shared" si="5"/>
        <v>0</v>
      </c>
      <c r="G24">
        <f ca="1" t="shared" si="6"/>
        <v>4</v>
      </c>
      <c r="H24">
        <f ca="1" t="shared" si="7"/>
        <v>0</v>
      </c>
      <c r="I24">
        <f ca="1" t="shared" si="8"/>
        <v>0</v>
      </c>
      <c r="J24" s="394" t="s">
        <v>103</v>
      </c>
      <c r="K24" s="162" t="str">
        <f ca="1" t="shared" si="9"/>
        <v>1.4.4.</v>
      </c>
      <c r="L24" s="395" t="s">
        <v>232</v>
      </c>
      <c r="M24" s="395" t="s">
        <v>266</v>
      </c>
      <c r="N24" s="396" t="s">
        <v>265</v>
      </c>
      <c r="O24" s="397" t="s">
        <v>267</v>
      </c>
      <c r="P24" s="225">
        <f ca="1">OFFSET(PLQ!$E$12,ROW($P24)-ROW(P$12),0)</f>
        <v>746.5</v>
      </c>
      <c r="Q24" s="229"/>
      <c r="R24" s="232" t="s">
        <v>7</v>
      </c>
      <c r="S24" s="121">
        <f t="shared" si="10"/>
        <v>0</v>
      </c>
      <c r="T24" s="98">
        <f ca="1" t="shared" si="11"/>
        <v>0</v>
      </c>
      <c r="U24" s="13" t="str">
        <f ca="1" t="shared" si="12"/>
        <v>SEM VALOR</v>
      </c>
      <c r="V24" s="4" t="str">
        <f ca="1">IF(OR($A24=0,$A24="S",$A24&gt;CFF!$A$9),"",MAX(V$12:OFFSET(V24,-1,0))+1)</f>
        <v/>
      </c>
      <c r="W24" s="9" t="str">
        <f t="shared" si="13"/>
        <v>SINAPI-72887</v>
      </c>
      <c r="X24" s="4" t="e">
        <f ca="1" t="shared" si="14"/>
        <v>#REF!</v>
      </c>
      <c r="Y24" s="121">
        <v>0.9</v>
      </c>
      <c r="Z24" s="132">
        <f ca="1">ROUND(IF(ISNUMBER(R24),R24,IF(LEFT(R24,3)="BDI",HLOOKUP(R24,DADOS!$T$37:$X$38,2,FALSE),0)),15-11*$X$5)</f>
        <v>0.2009</v>
      </c>
      <c r="AA24" s="4"/>
    </row>
    <row r="25" spans="1:27" ht="12.75" customHeight="1">
      <c r="A25" t="str">
        <f t="shared" si="0"/>
        <v>S</v>
      </c>
      <c r="B25">
        <f t="shared" si="1"/>
        <v>0</v>
      </c>
      <c r="C25">
        <f ca="1" t="shared" si="2"/>
        <v>1</v>
      </c>
      <c r="D25">
        <f ca="1" t="shared" si="3"/>
        <v>4</v>
      </c>
      <c r="E25">
        <f ca="1" t="shared" si="4"/>
        <v>0</v>
      </c>
      <c r="F25">
        <f ca="1" t="shared" si="5"/>
        <v>0</v>
      </c>
      <c r="G25">
        <f ca="1" t="shared" si="6"/>
        <v>5</v>
      </c>
      <c r="H25">
        <f ca="1" t="shared" si="7"/>
        <v>0</v>
      </c>
      <c r="I25">
        <f ca="1" t="shared" si="8"/>
        <v>0</v>
      </c>
      <c r="J25" s="394" t="s">
        <v>103</v>
      </c>
      <c r="K25" s="162" t="str">
        <f ca="1" t="shared" si="9"/>
        <v>1.4.5.</v>
      </c>
      <c r="L25" s="395" t="s">
        <v>232</v>
      </c>
      <c r="M25" s="395" t="s">
        <v>269</v>
      </c>
      <c r="N25" s="396" t="s">
        <v>268</v>
      </c>
      <c r="O25" s="397" t="s">
        <v>240</v>
      </c>
      <c r="P25" s="225">
        <f ca="1">OFFSET(PLQ!$E$12,ROW($P25)-ROW(P$12),0)</f>
        <v>16.61</v>
      </c>
      <c r="Q25" s="229"/>
      <c r="R25" s="232" t="s">
        <v>7</v>
      </c>
      <c r="S25" s="121">
        <f t="shared" si="10"/>
        <v>0</v>
      </c>
      <c r="T25" s="98">
        <f ca="1" t="shared" si="11"/>
        <v>0</v>
      </c>
      <c r="U25" s="13" t="str">
        <f ca="1" t="shared" si="12"/>
        <v>SEM VALOR</v>
      </c>
      <c r="V25" s="4" t="str">
        <f ca="1">IF(OR($A25=0,$A25="S",$A25&gt;CFF!$A$9),"",MAX(V$12:OFFSET(V25,-1,0))+1)</f>
        <v/>
      </c>
      <c r="W25" s="9" t="str">
        <f t="shared" si="13"/>
        <v>SINAPI-95995</v>
      </c>
      <c r="X25" s="4" t="e">
        <f ca="1" t="shared" si="14"/>
        <v>#REF!</v>
      </c>
      <c r="Y25" s="121">
        <v>587.24</v>
      </c>
      <c r="Z25" s="132">
        <f ca="1">ROUND(IF(ISNUMBER(R25),R25,IF(LEFT(R25,3)="BDI",HLOOKUP(R25,DADOS!$T$37:$X$38,2,FALSE),0)),15-11*$X$5)</f>
        <v>0.2009</v>
      </c>
      <c r="AA25" s="4"/>
    </row>
    <row r="26" spans="1:27" ht="12.75" customHeight="1">
      <c r="A26" t="str">
        <f t="shared" si="0"/>
        <v>S</v>
      </c>
      <c r="B26">
        <f t="shared" si="1"/>
        <v>0</v>
      </c>
      <c r="C26">
        <f ca="1" t="shared" si="2"/>
        <v>1</v>
      </c>
      <c r="D26">
        <f ca="1" t="shared" si="3"/>
        <v>4</v>
      </c>
      <c r="E26">
        <f ca="1" t="shared" si="4"/>
        <v>0</v>
      </c>
      <c r="F26">
        <f ca="1" t="shared" si="5"/>
        <v>0</v>
      </c>
      <c r="G26">
        <f ca="1" t="shared" si="6"/>
        <v>6</v>
      </c>
      <c r="H26">
        <f ca="1" t="shared" si="7"/>
        <v>0</v>
      </c>
      <c r="I26">
        <f ca="1" t="shared" si="8"/>
        <v>0</v>
      </c>
      <c r="J26" s="394" t="s">
        <v>103</v>
      </c>
      <c r="K26" s="162" t="str">
        <f ca="1" t="shared" si="9"/>
        <v>1.4.6.</v>
      </c>
      <c r="L26" s="395" t="s">
        <v>232</v>
      </c>
      <c r="M26" s="395" t="s">
        <v>271</v>
      </c>
      <c r="N26" s="396" t="s">
        <v>270</v>
      </c>
      <c r="O26" s="397" t="s">
        <v>243</v>
      </c>
      <c r="P26" s="225">
        <f ca="1">OFFSET(PLQ!$E$12,ROW($P26)-ROW(P$12),0)</f>
        <v>40.5</v>
      </c>
      <c r="Q26" s="229"/>
      <c r="R26" s="232" t="s">
        <v>7</v>
      </c>
      <c r="S26" s="121">
        <f t="shared" si="10"/>
        <v>0</v>
      </c>
      <c r="T26" s="98">
        <f ca="1" t="shared" si="11"/>
        <v>0</v>
      </c>
      <c r="U26" s="13" t="str">
        <f ca="1" t="shared" si="12"/>
        <v>SEM VALOR</v>
      </c>
      <c r="V26" s="4" t="str">
        <f ca="1">IF(OR($A26=0,$A26="S",$A26&gt;CFF!$A$9),"",MAX(V$12:OFFSET(V26,-1,0))+1)</f>
        <v/>
      </c>
      <c r="W26" s="9" t="str">
        <f t="shared" si="13"/>
        <v>SINAPI-7796</v>
      </c>
      <c r="X26" s="4" t="e">
        <f ca="1" t="shared" si="14"/>
        <v>#REF!</v>
      </c>
      <c r="Y26" s="121">
        <v>24.02</v>
      </c>
      <c r="Z26" s="132">
        <f ca="1">ROUND(IF(ISNUMBER(R26),R26,IF(LEFT(R26,3)="BDI",HLOOKUP(R26,DADOS!$T$37:$X$38,2,FALSE),0)),15-11*$X$5)</f>
        <v>0.2009</v>
      </c>
      <c r="AA26" s="4"/>
    </row>
    <row r="27" spans="1:27" ht="12.75" customHeight="1">
      <c r="A27" t="str">
        <f t="shared" si="0"/>
        <v>S</v>
      </c>
      <c r="B27">
        <f t="shared" si="1"/>
        <v>0</v>
      </c>
      <c r="C27">
        <f ca="1" t="shared" si="2"/>
        <v>1</v>
      </c>
      <c r="D27">
        <f ca="1" t="shared" si="3"/>
        <v>4</v>
      </c>
      <c r="E27">
        <f ca="1" t="shared" si="4"/>
        <v>0</v>
      </c>
      <c r="F27">
        <f ca="1" t="shared" si="5"/>
        <v>0</v>
      </c>
      <c r="G27">
        <f ca="1" t="shared" si="6"/>
        <v>7</v>
      </c>
      <c r="H27">
        <f ca="1" t="shared" si="7"/>
        <v>0</v>
      </c>
      <c r="I27">
        <f ca="1" t="shared" si="8"/>
        <v>0</v>
      </c>
      <c r="J27" s="394" t="s">
        <v>103</v>
      </c>
      <c r="K27" s="162" t="str">
        <f ca="1" t="shared" si="9"/>
        <v>1.4.7.</v>
      </c>
      <c r="L27" s="395" t="s">
        <v>232</v>
      </c>
      <c r="M27" s="395" t="s">
        <v>273</v>
      </c>
      <c r="N27" s="396" t="s">
        <v>272</v>
      </c>
      <c r="O27" s="397" t="s">
        <v>243</v>
      </c>
      <c r="P27" s="225">
        <f ca="1">OFFSET(PLQ!$E$12,ROW($P27)-ROW(P$12),0)</f>
        <v>40.5</v>
      </c>
      <c r="Q27" s="229"/>
      <c r="R27" s="232" t="s">
        <v>7</v>
      </c>
      <c r="S27" s="121">
        <f t="shared" si="10"/>
        <v>0</v>
      </c>
      <c r="T27" s="98">
        <f ca="1" t="shared" si="11"/>
        <v>0</v>
      </c>
      <c r="U27" s="13" t="str">
        <f ca="1" t="shared" si="12"/>
        <v>SEM VALOR</v>
      </c>
      <c r="V27" s="4" t="str">
        <f ca="1">IF(OR($A27=0,$A27="S",$A27&gt;CFF!$A$9),"",MAX(V$12:OFFSET(V27,-1,0))+1)</f>
        <v/>
      </c>
      <c r="W27" s="9" t="str">
        <f t="shared" si="13"/>
        <v>SINAPI-92808</v>
      </c>
      <c r="X27" s="4" t="e">
        <f ca="1" t="shared" si="14"/>
        <v>#REF!</v>
      </c>
      <c r="Y27" s="121">
        <v>38.9</v>
      </c>
      <c r="Z27" s="132">
        <f ca="1">ROUND(IF(ISNUMBER(R27),R27,IF(LEFT(R27,3)="BDI",HLOOKUP(R27,DADOS!$T$37:$X$38,2,FALSE),0)),15-11*$X$5)</f>
        <v>0.2009</v>
      </c>
      <c r="AA27" s="4"/>
    </row>
    <row r="28" spans="1:27" ht="12.75" customHeight="1">
      <c r="A28" t="str">
        <f t="shared" si="0"/>
        <v>S</v>
      </c>
      <c r="B28">
        <f t="shared" si="1"/>
        <v>0</v>
      </c>
      <c r="C28">
        <f ca="1" t="shared" si="2"/>
        <v>1</v>
      </c>
      <c r="D28">
        <f ca="1" t="shared" si="3"/>
        <v>4</v>
      </c>
      <c r="E28">
        <f ca="1" t="shared" si="4"/>
        <v>0</v>
      </c>
      <c r="F28">
        <f ca="1" t="shared" si="5"/>
        <v>0</v>
      </c>
      <c r="G28">
        <f ca="1" t="shared" si="6"/>
        <v>8</v>
      </c>
      <c r="H28">
        <f ca="1" t="shared" si="7"/>
        <v>0</v>
      </c>
      <c r="I28">
        <f ca="1" t="shared" si="8"/>
        <v>0</v>
      </c>
      <c r="J28" s="394" t="s">
        <v>103</v>
      </c>
      <c r="K28" s="162" t="str">
        <f ca="1" t="shared" si="9"/>
        <v>1.4.8.</v>
      </c>
      <c r="L28" s="395" t="s">
        <v>232</v>
      </c>
      <c r="M28" s="395" t="s">
        <v>274</v>
      </c>
      <c r="N28" s="396" t="s">
        <v>242</v>
      </c>
      <c r="O28" s="397" t="s">
        <v>243</v>
      </c>
      <c r="P28" s="225">
        <f ca="1">OFFSET(PLQ!$E$12,ROW($P28)-ROW(P$12),0)</f>
        <v>295.5</v>
      </c>
      <c r="Q28" s="229"/>
      <c r="R28" s="232" t="s">
        <v>7</v>
      </c>
      <c r="S28" s="121">
        <f t="shared" si="10"/>
        <v>0</v>
      </c>
      <c r="T28" s="98">
        <f ca="1" t="shared" si="11"/>
        <v>0</v>
      </c>
      <c r="U28" s="13" t="str">
        <f ca="1" t="shared" si="12"/>
        <v>SEM VALOR</v>
      </c>
      <c r="V28" s="4" t="str">
        <f ca="1">IF(OR($A28=0,$A28="S",$A28&gt;CFF!$A$9),"",MAX(V$12:OFFSET(V28,-1,0))+1)</f>
        <v/>
      </c>
      <c r="W28" s="9" t="str">
        <f t="shared" si="13"/>
        <v xml:space="preserve">SINAPI-7781 </v>
      </c>
      <c r="X28" s="4" t="e">
        <f ca="1" t="shared" si="14"/>
        <v>#REF!</v>
      </c>
      <c r="Y28" s="121">
        <v>31.75</v>
      </c>
      <c r="Z28" s="132">
        <f ca="1">ROUND(IF(ISNUMBER(R28),R28,IF(LEFT(R28,3)="BDI",HLOOKUP(R28,DADOS!$T$37:$X$38,2,FALSE),0)),15-11*$X$5)</f>
        <v>0.2009</v>
      </c>
      <c r="AA28" s="4"/>
    </row>
    <row r="29" spans="1:27" ht="12.75" customHeight="1">
      <c r="A29" t="str">
        <f t="shared" si="0"/>
        <v>S</v>
      </c>
      <c r="B29">
        <f t="shared" si="1"/>
        <v>0</v>
      </c>
      <c r="C29">
        <f ca="1" t="shared" si="2"/>
        <v>1</v>
      </c>
      <c r="D29">
        <f ca="1" t="shared" si="3"/>
        <v>4</v>
      </c>
      <c r="E29">
        <f ca="1" t="shared" si="4"/>
        <v>0</v>
      </c>
      <c r="F29">
        <f ca="1" t="shared" si="5"/>
        <v>0</v>
      </c>
      <c r="G29">
        <f ca="1" t="shared" si="6"/>
        <v>9</v>
      </c>
      <c r="H29">
        <f ca="1" t="shared" si="7"/>
        <v>0</v>
      </c>
      <c r="I29">
        <f ca="1" t="shared" si="8"/>
        <v>0</v>
      </c>
      <c r="J29" s="394" t="s">
        <v>103</v>
      </c>
      <c r="K29" s="162" t="str">
        <f ca="1" t="shared" si="9"/>
        <v>1.4.9.</v>
      </c>
      <c r="L29" s="395" t="s">
        <v>232</v>
      </c>
      <c r="M29" s="395" t="s">
        <v>245</v>
      </c>
      <c r="N29" s="396" t="s">
        <v>244</v>
      </c>
      <c r="O29" s="397" t="s">
        <v>243</v>
      </c>
      <c r="P29" s="225">
        <f ca="1">OFFSET(PLQ!$E$12,ROW($P29)-ROW(P$12),0)</f>
        <v>295.5</v>
      </c>
      <c r="Q29" s="229"/>
      <c r="R29" s="232" t="s">
        <v>7</v>
      </c>
      <c r="S29" s="121">
        <f t="shared" si="10"/>
        <v>0</v>
      </c>
      <c r="T29" s="98">
        <f ca="1" t="shared" si="11"/>
        <v>0</v>
      </c>
      <c r="U29" s="13" t="str">
        <f ca="1" t="shared" si="12"/>
        <v>SEM VALOR</v>
      </c>
      <c r="V29" s="4" t="str">
        <f ca="1">IF(OR($A29=0,$A29="S",$A29&gt;CFF!$A$9),"",MAX(V$12:OFFSET(V29,-1,0))+1)</f>
        <v/>
      </c>
      <c r="W29" s="9" t="str">
        <f t="shared" si="13"/>
        <v>SINAPI-92809</v>
      </c>
      <c r="X29" s="4" t="e">
        <f ca="1" t="shared" si="14"/>
        <v>#REF!</v>
      </c>
      <c r="Y29" s="121">
        <v>49.83</v>
      </c>
      <c r="Z29" s="132">
        <f ca="1">ROUND(IF(ISNUMBER(R29),R29,IF(LEFT(R29,3)="BDI",HLOOKUP(R29,DADOS!$T$37:$X$38,2,FALSE),0)),15-11*$X$5)</f>
        <v>0.2009</v>
      </c>
      <c r="AA29" s="4"/>
    </row>
    <row r="30" spans="1:27" ht="12.75" customHeight="1">
      <c r="A30" t="str">
        <f t="shared" si="0"/>
        <v>S</v>
      </c>
      <c r="B30">
        <f t="shared" si="1"/>
        <v>0</v>
      </c>
      <c r="C30">
        <f ca="1" t="shared" si="2"/>
        <v>1</v>
      </c>
      <c r="D30">
        <f ca="1" t="shared" si="3"/>
        <v>4</v>
      </c>
      <c r="E30">
        <f ca="1" t="shared" si="4"/>
        <v>0</v>
      </c>
      <c r="F30">
        <f ca="1" t="shared" si="5"/>
        <v>0</v>
      </c>
      <c r="G30">
        <f ca="1" t="shared" si="6"/>
        <v>10</v>
      </c>
      <c r="H30">
        <f ca="1" t="shared" si="7"/>
        <v>0</v>
      </c>
      <c r="I30">
        <f ca="1" t="shared" si="8"/>
        <v>0</v>
      </c>
      <c r="J30" s="394" t="s">
        <v>103</v>
      </c>
      <c r="K30" s="162" t="str">
        <f ca="1" t="shared" si="9"/>
        <v>1.4.10.</v>
      </c>
      <c r="L30" s="395" t="s">
        <v>276</v>
      </c>
      <c r="M30" s="395" t="s">
        <v>46</v>
      </c>
      <c r="N30" s="396" t="s">
        <v>275</v>
      </c>
      <c r="O30" s="397" t="s">
        <v>235</v>
      </c>
      <c r="P30" s="225">
        <f ca="1">OFFSET(PLQ!$E$12,ROW($P30)-ROW(P$12),0)</f>
        <v>13</v>
      </c>
      <c r="Q30" s="229"/>
      <c r="R30" s="232" t="s">
        <v>7</v>
      </c>
      <c r="S30" s="121">
        <f t="shared" si="10"/>
        <v>0</v>
      </c>
      <c r="T30" s="98">
        <f ca="1" t="shared" si="11"/>
        <v>0</v>
      </c>
      <c r="U30" s="13" t="str">
        <f ca="1" t="shared" si="12"/>
        <v>SEM VALOR</v>
      </c>
      <c r="V30" s="4" t="str">
        <f ca="1">IF(OR($A30=0,$A30="S",$A30&gt;CFF!$A$9),"",MAX(V$12:OFFSET(V30,-1,0))+1)</f>
        <v/>
      </c>
      <c r="W30" s="9" t="str">
        <f t="shared" si="13"/>
        <v>Composição 01--</v>
      </c>
      <c r="X30" s="4" t="e">
        <f ca="1" t="shared" si="14"/>
        <v>#REF!</v>
      </c>
      <c r="Y30" s="121">
        <v>1155.52</v>
      </c>
      <c r="Z30" s="132">
        <f ca="1">ROUND(IF(ISNUMBER(R30),R30,IF(LEFT(R30,3)="BDI",HLOOKUP(R30,DADOS!$T$37:$X$38,2,FALSE),0)),15-11*$X$5)</f>
        <v>0.2009</v>
      </c>
      <c r="AA30" s="4"/>
    </row>
    <row r="31" spans="1:27" ht="12.75" customHeight="1">
      <c r="A31" t="str">
        <f t="shared" si="0"/>
        <v>S</v>
      </c>
      <c r="B31">
        <f t="shared" si="1"/>
        <v>0</v>
      </c>
      <c r="C31">
        <f ca="1" t="shared" si="2"/>
        <v>1</v>
      </c>
      <c r="D31">
        <f ca="1" t="shared" si="3"/>
        <v>4</v>
      </c>
      <c r="E31">
        <f ca="1" t="shared" si="4"/>
        <v>0</v>
      </c>
      <c r="F31">
        <f ca="1" t="shared" si="5"/>
        <v>0</v>
      </c>
      <c r="G31">
        <f ca="1" t="shared" si="6"/>
        <v>11</v>
      </c>
      <c r="H31">
        <f ca="1" t="shared" si="7"/>
        <v>0</v>
      </c>
      <c r="I31">
        <f ca="1" t="shared" si="8"/>
        <v>0</v>
      </c>
      <c r="J31" s="394" t="s">
        <v>103</v>
      </c>
      <c r="K31" s="162" t="str">
        <f ca="1" t="shared" si="9"/>
        <v>1.4.11.</v>
      </c>
      <c r="L31" s="395" t="s">
        <v>278</v>
      </c>
      <c r="M31" s="395" t="s">
        <v>46</v>
      </c>
      <c r="N31" s="396" t="s">
        <v>277</v>
      </c>
      <c r="O31" s="397" t="s">
        <v>235</v>
      </c>
      <c r="P31" s="225">
        <f ca="1">OFFSET(PLQ!$E$12,ROW($P31)-ROW(P$12),0)</f>
        <v>1</v>
      </c>
      <c r="Q31" s="229"/>
      <c r="R31" s="232" t="s">
        <v>7</v>
      </c>
      <c r="S31" s="121">
        <f t="shared" si="10"/>
        <v>0</v>
      </c>
      <c r="T31" s="98">
        <f ca="1" t="shared" si="11"/>
        <v>0</v>
      </c>
      <c r="U31" s="13" t="str">
        <f ca="1" t="shared" si="12"/>
        <v>SEM VALOR</v>
      </c>
      <c r="V31" s="4" t="str">
        <f ca="1">IF(OR($A31=0,$A31="S",$A31&gt;CFF!$A$9),"",MAX(V$12:OFFSET(V31,-1,0))+1)</f>
        <v/>
      </c>
      <c r="W31" s="9" t="str">
        <f t="shared" si="13"/>
        <v>Composição 02--</v>
      </c>
      <c r="X31" s="4" t="e">
        <f ca="1" t="shared" si="14"/>
        <v>#REF!</v>
      </c>
      <c r="Y31" s="121">
        <v>13.37</v>
      </c>
      <c r="Z31" s="132">
        <f ca="1">ROUND(IF(ISNUMBER(R31),R31,IF(LEFT(R31,3)="BDI",HLOOKUP(R31,DADOS!$T$37:$X$38,2,FALSE),0)),15-11*$X$5)</f>
        <v>0.2009</v>
      </c>
      <c r="AA31" s="4"/>
    </row>
    <row r="32" spans="1:27" ht="12.75" customHeight="1">
      <c r="A32" t="str">
        <f t="shared" si="0"/>
        <v>S</v>
      </c>
      <c r="B32">
        <f t="shared" si="1"/>
        <v>0</v>
      </c>
      <c r="C32">
        <f ca="1" t="shared" si="2"/>
        <v>1</v>
      </c>
      <c r="D32">
        <f ca="1" t="shared" si="3"/>
        <v>4</v>
      </c>
      <c r="E32">
        <f ca="1" t="shared" si="4"/>
        <v>0</v>
      </c>
      <c r="F32">
        <f ca="1" t="shared" si="5"/>
        <v>0</v>
      </c>
      <c r="G32">
        <f ca="1" t="shared" si="6"/>
        <v>12</v>
      </c>
      <c r="H32">
        <f ca="1" t="shared" si="7"/>
        <v>0</v>
      </c>
      <c r="I32">
        <f ca="1" t="shared" si="8"/>
        <v>0</v>
      </c>
      <c r="J32" s="394" t="s">
        <v>103</v>
      </c>
      <c r="K32" s="162" t="str">
        <f ca="1" t="shared" si="9"/>
        <v>1.4.12.</v>
      </c>
      <c r="L32" s="395" t="s">
        <v>279</v>
      </c>
      <c r="M32" s="395" t="s">
        <v>280</v>
      </c>
      <c r="N32" s="396" t="s">
        <v>246</v>
      </c>
      <c r="O32" s="397" t="s">
        <v>235</v>
      </c>
      <c r="P32" s="225">
        <f ca="1">OFFSET(PLQ!$E$12,ROW($P32)-ROW(P$12),0)</f>
        <v>8</v>
      </c>
      <c r="Q32" s="229"/>
      <c r="R32" s="232" t="s">
        <v>7</v>
      </c>
      <c r="S32" s="121">
        <f t="shared" si="10"/>
        <v>0</v>
      </c>
      <c r="T32" s="98">
        <f ca="1" t="shared" si="11"/>
        <v>0</v>
      </c>
      <c r="U32" s="13" t="str">
        <f ca="1" t="shared" si="12"/>
        <v>SEM VALOR</v>
      </c>
      <c r="V32" s="4" t="str">
        <f ca="1">IF(OR($A32=0,$A32="S",$A32&gt;CFF!$A$9),"",MAX(V$12:OFFSET(V32,-1,0))+1)</f>
        <v/>
      </c>
      <c r="W32" s="9" t="str">
        <f t="shared" si="13"/>
        <v>SICRO-5 S 04 999 01 D.</v>
      </c>
      <c r="X32" s="4" t="e">
        <f ca="1" t="shared" si="14"/>
        <v>#REF!</v>
      </c>
      <c r="Y32" s="121">
        <v>74.36</v>
      </c>
      <c r="Z32" s="132">
        <f ca="1">ROUND(IF(ISNUMBER(R32),R32,IF(LEFT(R32,3)="BDI",HLOOKUP(R32,DADOS!$T$37:$X$38,2,FALSE),0)),15-11*$X$5)</f>
        <v>0.2009</v>
      </c>
      <c r="AA32" s="4"/>
    </row>
    <row r="33" spans="1:27" ht="12.75" customHeight="1">
      <c r="A33" t="str">
        <f t="shared" si="0"/>
        <v>S</v>
      </c>
      <c r="B33">
        <f t="shared" si="1"/>
        <v>0</v>
      </c>
      <c r="C33">
        <f ca="1" t="shared" si="2"/>
        <v>1</v>
      </c>
      <c r="D33">
        <f ca="1" t="shared" si="3"/>
        <v>4</v>
      </c>
      <c r="E33">
        <f ca="1" t="shared" si="4"/>
        <v>0</v>
      </c>
      <c r="F33">
        <f ca="1" t="shared" si="5"/>
        <v>0</v>
      </c>
      <c r="G33">
        <f ca="1" t="shared" si="6"/>
        <v>13</v>
      </c>
      <c r="H33">
        <f ca="1" t="shared" si="7"/>
        <v>0</v>
      </c>
      <c r="I33">
        <f ca="1" t="shared" si="8"/>
        <v>0</v>
      </c>
      <c r="J33" s="394" t="s">
        <v>103</v>
      </c>
      <c r="K33" s="162" t="str">
        <f ca="1" t="shared" si="9"/>
        <v>1.4.13.</v>
      </c>
      <c r="L33" s="395" t="s">
        <v>232</v>
      </c>
      <c r="M33" s="395" t="s">
        <v>282</v>
      </c>
      <c r="N33" s="396" t="s">
        <v>281</v>
      </c>
      <c r="O33" s="397" t="s">
        <v>229</v>
      </c>
      <c r="P33" s="225">
        <f ca="1">OFFSET(PLQ!$E$12,ROW($P33)-ROW(P$12),0)</f>
        <v>0.48</v>
      </c>
      <c r="Q33" s="229"/>
      <c r="R33" s="232" t="s">
        <v>7</v>
      </c>
      <c r="S33" s="121">
        <f t="shared" si="10"/>
        <v>0</v>
      </c>
      <c r="T33" s="98">
        <f ca="1" t="shared" si="11"/>
        <v>0</v>
      </c>
      <c r="U33" s="13" t="str">
        <f ca="1" t="shared" si="12"/>
        <v>SEM VALOR</v>
      </c>
      <c r="V33" s="4" t="str">
        <f ca="1">IF(OR($A33=0,$A33="S",$A33&gt;CFF!$A$9),"",MAX(V$12:OFFSET(V33,-1,0))+1)</f>
        <v/>
      </c>
      <c r="W33" s="9" t="str">
        <f t="shared" si="13"/>
        <v>SINAPI-73932/001</v>
      </c>
      <c r="X33" s="4" t="e">
        <f ca="1" t="shared" si="14"/>
        <v>#REF!</v>
      </c>
      <c r="Y33" s="121">
        <v>267.64</v>
      </c>
      <c r="Z33" s="132">
        <f ca="1">ROUND(IF(ISNUMBER(R33),R33,IF(LEFT(R33,3)="BDI",HLOOKUP(R33,DADOS!$T$37:$X$38,2,FALSE),0)),15-11*$X$5)</f>
        <v>0.2009</v>
      </c>
      <c r="AA33" s="4"/>
    </row>
    <row r="34" spans="1:27" ht="12.75" customHeight="1">
      <c r="A34">
        <f t="shared" si="0"/>
        <v>2</v>
      </c>
      <c r="B34">
        <f ca="1" t="shared" si="1"/>
        <v>17</v>
      </c>
      <c r="C34">
        <f ca="1" t="shared" si="2"/>
        <v>1</v>
      </c>
      <c r="D34">
        <f ca="1" t="shared" si="3"/>
        <v>5</v>
      </c>
      <c r="E34">
        <f ca="1" t="shared" si="4"/>
        <v>0</v>
      </c>
      <c r="F34">
        <f ca="1" t="shared" si="5"/>
        <v>0</v>
      </c>
      <c r="G34">
        <f ca="1" t="shared" si="6"/>
        <v>0</v>
      </c>
      <c r="H34">
        <f ca="1" t="shared" si="7"/>
        <v>26</v>
      </c>
      <c r="I34">
        <f ca="1" t="shared" si="8"/>
        <v>17</v>
      </c>
      <c r="J34" s="394" t="s">
        <v>100</v>
      </c>
      <c r="K34" s="162" t="str">
        <f ca="1" t="shared" si="9"/>
        <v>1.5.</v>
      </c>
      <c r="L34" s="395"/>
      <c r="M34" s="395"/>
      <c r="N34" s="396" t="s">
        <v>283</v>
      </c>
      <c r="O34" s="397"/>
      <c r="P34" s="225">
        <f ca="1">OFFSET(PLQ!$E$12,ROW($P34)-ROW(P$12),0)</f>
        <v>0</v>
      </c>
      <c r="Q34" s="229"/>
      <c r="R34" s="232" t="s">
        <v>7</v>
      </c>
      <c r="S34" s="121">
        <f t="shared" si="10"/>
        <v>0</v>
      </c>
      <c r="T34" s="98">
        <f ca="1" t="shared" si="11"/>
        <v>0</v>
      </c>
      <c r="U34" s="13" t="str">
        <f ca="1" t="shared" si="12"/>
        <v>SEM VALOR</v>
      </c>
      <c r="V34" s="4">
        <f ca="1">IF(OR($A34=0,$A34="S",$A34&gt;CFF!$A$9),"",MAX(V$12:OFFSET(V34,-1,0))+1)</f>
        <v>6</v>
      </c>
      <c r="W34" s="9" t="b">
        <f t="shared" si="13"/>
        <v>0</v>
      </c>
      <c r="X34" s="4" t="str">
        <f ca="1" t="shared" si="14"/>
        <v>X</v>
      </c>
      <c r="Y34" s="121">
        <v>0</v>
      </c>
      <c r="Z34" s="132">
        <f ca="1">ROUND(IF(ISNUMBER(R34),R34,IF(LEFT(R34,3)="BDI",HLOOKUP(R34,DADOS!$T$37:$X$38,2,FALSE),0)),15-11*$X$5)</f>
        <v>0.2009</v>
      </c>
      <c r="AA34" s="4"/>
    </row>
    <row r="35" spans="1:27" ht="12.75" customHeight="1">
      <c r="A35" t="str">
        <f t="shared" si="0"/>
        <v>S</v>
      </c>
      <c r="B35">
        <f t="shared" si="1"/>
        <v>0</v>
      </c>
      <c r="C35">
        <f ca="1" t="shared" si="2"/>
        <v>1</v>
      </c>
      <c r="D35">
        <f ca="1" t="shared" si="3"/>
        <v>5</v>
      </c>
      <c r="E35">
        <f ca="1" t="shared" si="4"/>
        <v>0</v>
      </c>
      <c r="F35">
        <f ca="1" t="shared" si="5"/>
        <v>0</v>
      </c>
      <c r="G35">
        <f ca="1" t="shared" si="6"/>
        <v>1</v>
      </c>
      <c r="H35">
        <f ca="1" t="shared" si="7"/>
        <v>0</v>
      </c>
      <c r="I35">
        <f ca="1" t="shared" si="8"/>
        <v>0</v>
      </c>
      <c r="J35" s="394" t="s">
        <v>103</v>
      </c>
      <c r="K35" s="162" t="str">
        <f ca="1" t="shared" si="9"/>
        <v>1.5.1.</v>
      </c>
      <c r="L35" s="395" t="s">
        <v>232</v>
      </c>
      <c r="M35" s="395" t="s">
        <v>284</v>
      </c>
      <c r="N35" s="396" t="s">
        <v>259</v>
      </c>
      <c r="O35" s="397" t="s">
        <v>240</v>
      </c>
      <c r="P35" s="225">
        <f ca="1">OFFSET(PLQ!$E$12,ROW($P35)-ROW(P$12),0)</f>
        <v>28.68</v>
      </c>
      <c r="Q35" s="229"/>
      <c r="R35" s="232" t="s">
        <v>7</v>
      </c>
      <c r="S35" s="121">
        <f t="shared" si="10"/>
        <v>0</v>
      </c>
      <c r="T35" s="98">
        <f ca="1" t="shared" si="11"/>
        <v>0</v>
      </c>
      <c r="U35" s="13" t="str">
        <f ca="1" t="shared" si="12"/>
        <v>SEM VALOR</v>
      </c>
      <c r="V35" s="4" t="str">
        <f ca="1">IF(OR($A35=0,$A35="S",$A35&gt;CFF!$A$9),"",MAX(V$12:OFFSET(V35,-1,0))+1)</f>
        <v/>
      </c>
      <c r="W35" s="9" t="str">
        <f t="shared" si="13"/>
        <v>SINAPI-89886</v>
      </c>
      <c r="X35" s="4" t="e">
        <f ca="1" t="shared" si="14"/>
        <v>#REF!</v>
      </c>
      <c r="Y35" s="121">
        <v>9.17</v>
      </c>
      <c r="Z35" s="132">
        <f ca="1">ROUND(IF(ISNUMBER(R35),R35,IF(LEFT(R35,3)="BDI",HLOOKUP(R35,DADOS!$T$37:$X$38,2,FALSE),0)),15-11*$X$5)</f>
        <v>0.2009</v>
      </c>
      <c r="AA35" s="4"/>
    </row>
    <row r="36" spans="1:27" ht="12.75" customHeight="1">
      <c r="A36" t="str">
        <f t="shared" si="0"/>
        <v>S</v>
      </c>
      <c r="B36">
        <f t="shared" si="1"/>
        <v>0</v>
      </c>
      <c r="C36">
        <f ca="1" t="shared" si="2"/>
        <v>1</v>
      </c>
      <c r="D36">
        <f ca="1" t="shared" si="3"/>
        <v>5</v>
      </c>
      <c r="E36">
        <f ca="1" t="shared" si="4"/>
        <v>0</v>
      </c>
      <c r="F36">
        <f ca="1" t="shared" si="5"/>
        <v>0</v>
      </c>
      <c r="G36">
        <f ca="1" t="shared" si="6"/>
        <v>2</v>
      </c>
      <c r="H36">
        <f ca="1" t="shared" si="7"/>
        <v>0</v>
      </c>
      <c r="I36">
        <f ca="1" t="shared" si="8"/>
        <v>0</v>
      </c>
      <c r="J36" s="394" t="s">
        <v>103</v>
      </c>
      <c r="K36" s="162" t="str">
        <f ca="1" t="shared" si="9"/>
        <v>1.5.2.</v>
      </c>
      <c r="L36" s="395" t="s">
        <v>232</v>
      </c>
      <c r="M36" s="395" t="s">
        <v>286</v>
      </c>
      <c r="N36" s="396" t="s">
        <v>285</v>
      </c>
      <c r="O36" s="397" t="s">
        <v>229</v>
      </c>
      <c r="P36" s="225">
        <f ca="1">OFFSET(PLQ!$E$12,ROW($P36)-ROW(P$12),0)</f>
        <v>10.75</v>
      </c>
      <c r="Q36" s="229"/>
      <c r="R36" s="232" t="s">
        <v>7</v>
      </c>
      <c r="S36" s="121">
        <f t="shared" si="10"/>
        <v>0</v>
      </c>
      <c r="T36" s="98">
        <f ca="1" t="shared" si="11"/>
        <v>0</v>
      </c>
      <c r="U36" s="13" t="str">
        <f ca="1" t="shared" si="12"/>
        <v>SEM VALOR</v>
      </c>
      <c r="V36" s="4" t="str">
        <f ca="1">IF(OR($A36=0,$A36="S",$A36&gt;CFF!$A$9),"",MAX(V$12:OFFSET(V36,-1,0))+1)</f>
        <v/>
      </c>
      <c r="W36" s="9" t="str">
        <f t="shared" si="13"/>
        <v xml:space="preserve">SINAPI-73817/002 </v>
      </c>
      <c r="X36" s="4" t="e">
        <f ca="1" t="shared" si="14"/>
        <v>#REF!</v>
      </c>
      <c r="Y36" s="121">
        <v>113.79</v>
      </c>
      <c r="Z36" s="132">
        <f ca="1">ROUND(IF(ISNUMBER(R36),R36,IF(LEFT(R36,3)="BDI",HLOOKUP(R36,DADOS!$T$37:$X$38,2,FALSE),0)),15-11*$X$5)</f>
        <v>0.2009</v>
      </c>
      <c r="AA36" s="4"/>
    </row>
    <row r="37" spans="1:27" ht="12.75" customHeight="1">
      <c r="A37" t="str">
        <f t="shared" si="0"/>
        <v>S</v>
      </c>
      <c r="B37">
        <f t="shared" si="1"/>
        <v>0</v>
      </c>
      <c r="C37">
        <f ca="1" t="shared" si="2"/>
        <v>1</v>
      </c>
      <c r="D37">
        <f ca="1" t="shared" si="3"/>
        <v>5</v>
      </c>
      <c r="E37">
        <f ca="1" t="shared" si="4"/>
        <v>0</v>
      </c>
      <c r="F37">
        <f ca="1" t="shared" si="5"/>
        <v>0</v>
      </c>
      <c r="G37">
        <f ca="1" t="shared" si="6"/>
        <v>3</v>
      </c>
      <c r="H37">
        <f ca="1" t="shared" si="7"/>
        <v>0</v>
      </c>
      <c r="I37">
        <f ca="1" t="shared" si="8"/>
        <v>0</v>
      </c>
      <c r="J37" s="394" t="s">
        <v>103</v>
      </c>
      <c r="K37" s="162" t="str">
        <f ca="1" t="shared" si="9"/>
        <v>1.5.3.</v>
      </c>
      <c r="L37" s="395" t="s">
        <v>232</v>
      </c>
      <c r="M37" s="395" t="s">
        <v>264</v>
      </c>
      <c r="N37" s="396" t="s">
        <v>263</v>
      </c>
      <c r="O37" s="397" t="s">
        <v>240</v>
      </c>
      <c r="P37" s="225">
        <f ca="1">OFFSET(PLQ!$E$12,ROW($P37)-ROW(P$12),0)</f>
        <v>10.75</v>
      </c>
      <c r="Q37" s="229"/>
      <c r="R37" s="232" t="s">
        <v>7</v>
      </c>
      <c r="S37" s="121">
        <f t="shared" si="10"/>
        <v>0</v>
      </c>
      <c r="T37" s="98">
        <f ca="1" t="shared" si="11"/>
        <v>0</v>
      </c>
      <c r="U37" s="13" t="str">
        <f ca="1" t="shared" si="12"/>
        <v>SEM VALOR</v>
      </c>
      <c r="V37" s="4" t="str">
        <f ca="1">IF(OR($A37=0,$A37="S",$A37&gt;CFF!$A$9),"",MAX(V$12:OFFSET(V37,-1,0))+1)</f>
        <v/>
      </c>
      <c r="W37" s="9" t="str">
        <f t="shared" si="13"/>
        <v>SINAPI-73710</v>
      </c>
      <c r="X37" s="4" t="e">
        <f ca="1" t="shared" si="14"/>
        <v>#REF!</v>
      </c>
      <c r="Y37" s="121">
        <v>98.47</v>
      </c>
      <c r="Z37" s="132">
        <f ca="1">ROUND(IF(ISNUMBER(R37),R37,IF(LEFT(R37,3)="BDI",HLOOKUP(R37,DADOS!$T$37:$X$38,2,FALSE),0)),15-11*$X$5)</f>
        <v>0.2009</v>
      </c>
      <c r="AA37" s="4"/>
    </row>
    <row r="38" spans="1:27" ht="12.75" customHeight="1">
      <c r="A38" t="str">
        <f t="shared" si="0"/>
        <v>S</v>
      </c>
      <c r="B38">
        <f t="shared" si="1"/>
        <v>0</v>
      </c>
      <c r="C38">
        <f ca="1" t="shared" si="2"/>
        <v>1</v>
      </c>
      <c r="D38">
        <f ca="1" t="shared" si="3"/>
        <v>5</v>
      </c>
      <c r="E38">
        <f ca="1" t="shared" si="4"/>
        <v>0</v>
      </c>
      <c r="F38">
        <f ca="1" t="shared" si="5"/>
        <v>0</v>
      </c>
      <c r="G38">
        <f ca="1" t="shared" si="6"/>
        <v>4</v>
      </c>
      <c r="H38">
        <f ca="1" t="shared" si="7"/>
        <v>0</v>
      </c>
      <c r="I38">
        <f ca="1" t="shared" si="8"/>
        <v>0</v>
      </c>
      <c r="J38" s="394" t="s">
        <v>103</v>
      </c>
      <c r="K38" s="162" t="str">
        <f ca="1" t="shared" si="9"/>
        <v>1.5.4.</v>
      </c>
      <c r="L38" s="395" t="s">
        <v>232</v>
      </c>
      <c r="M38" s="395" t="s">
        <v>266</v>
      </c>
      <c r="N38" s="396" t="s">
        <v>287</v>
      </c>
      <c r="O38" s="397" t="s">
        <v>288</v>
      </c>
      <c r="P38" s="225">
        <f ca="1">OFFSET(PLQ!$E$12,ROW($P38)-ROW(P$12),0)</f>
        <v>322.5</v>
      </c>
      <c r="Q38" s="229"/>
      <c r="R38" s="232" t="s">
        <v>7</v>
      </c>
      <c r="S38" s="121">
        <f t="shared" si="10"/>
        <v>0</v>
      </c>
      <c r="T38" s="98">
        <f ca="1" t="shared" si="11"/>
        <v>0</v>
      </c>
      <c r="U38" s="13" t="str">
        <f ca="1" t="shared" si="12"/>
        <v>SEM VALOR</v>
      </c>
      <c r="V38" s="4" t="str">
        <f ca="1">IF(OR($A38=0,$A38="S",$A38&gt;CFF!$A$9),"",MAX(V$12:OFFSET(V38,-1,0))+1)</f>
        <v/>
      </c>
      <c r="W38" s="9" t="str">
        <f t="shared" si="13"/>
        <v>SINAPI-72887</v>
      </c>
      <c r="X38" s="4" t="e">
        <f ca="1" t="shared" si="14"/>
        <v>#REF!</v>
      </c>
      <c r="Y38" s="121">
        <v>0.9</v>
      </c>
      <c r="Z38" s="132">
        <f ca="1">ROUND(IF(ISNUMBER(R38),R38,IF(LEFT(R38,3)="BDI",HLOOKUP(R38,DADOS!$T$37:$X$38,2,FALSE),0)),15-11*$X$5)</f>
        <v>0.2009</v>
      </c>
      <c r="AA38" s="4"/>
    </row>
    <row r="39" spans="1:27" ht="12.75" customHeight="1">
      <c r="A39" t="str">
        <f t="shared" si="0"/>
        <v>S</v>
      </c>
      <c r="B39">
        <f t="shared" si="1"/>
        <v>0</v>
      </c>
      <c r="C39">
        <f ca="1" t="shared" si="2"/>
        <v>1</v>
      </c>
      <c r="D39">
        <f ca="1" t="shared" si="3"/>
        <v>5</v>
      </c>
      <c r="E39">
        <f ca="1" t="shared" si="4"/>
        <v>0</v>
      </c>
      <c r="F39">
        <f ca="1" t="shared" si="5"/>
        <v>0</v>
      </c>
      <c r="G39">
        <f ca="1" t="shared" si="6"/>
        <v>5</v>
      </c>
      <c r="H39">
        <f ca="1" t="shared" si="7"/>
        <v>0</v>
      </c>
      <c r="I39">
        <f ca="1" t="shared" si="8"/>
        <v>0</v>
      </c>
      <c r="J39" s="394" t="s">
        <v>103</v>
      </c>
      <c r="K39" s="162" t="str">
        <f ca="1" t="shared" si="9"/>
        <v>1.5.5.</v>
      </c>
      <c r="L39" s="395" t="s">
        <v>232</v>
      </c>
      <c r="M39" s="395" t="s">
        <v>290</v>
      </c>
      <c r="N39" s="396" t="s">
        <v>289</v>
      </c>
      <c r="O39" s="397" t="s">
        <v>229</v>
      </c>
      <c r="P39" s="225">
        <f ca="1">OFFSET(PLQ!$E$12,ROW($P39)-ROW(P$12),0)</f>
        <v>3271.7</v>
      </c>
      <c r="Q39" s="229"/>
      <c r="R39" s="232" t="s">
        <v>7</v>
      </c>
      <c r="S39" s="121">
        <f t="shared" si="10"/>
        <v>0</v>
      </c>
      <c r="T39" s="98">
        <f ca="1" t="shared" si="11"/>
        <v>0</v>
      </c>
      <c r="U39" s="13" t="str">
        <f ca="1" t="shared" si="12"/>
        <v>SEM VALOR</v>
      </c>
      <c r="V39" s="4" t="str">
        <f ca="1">IF(OR($A39=0,$A39="S",$A39&gt;CFF!$A$9),"",MAX(V$12:OFFSET(V39,-1,0))+1)</f>
        <v/>
      </c>
      <c r="W39" s="9" t="str">
        <f t="shared" si="13"/>
        <v>SINAPI-73806/001</v>
      </c>
      <c r="X39" s="4" t="e">
        <f ca="1" t="shared" si="14"/>
        <v>#REF!</v>
      </c>
      <c r="Y39" s="121">
        <v>1.55</v>
      </c>
      <c r="Z39" s="132">
        <f ca="1">ROUND(IF(ISNUMBER(R39),R39,IF(LEFT(R39,3)="BDI",HLOOKUP(R39,DADOS!$T$37:$X$38,2,FALSE),0)),15-11*$X$5)</f>
        <v>0.2009</v>
      </c>
      <c r="AA39" s="4"/>
    </row>
    <row r="40" spans="1:27" ht="12.75" customHeight="1">
      <c r="A40" t="str">
        <f t="shared" si="0"/>
        <v>S</v>
      </c>
      <c r="B40">
        <f t="shared" si="1"/>
        <v>0</v>
      </c>
      <c r="C40">
        <f ca="1" t="shared" si="2"/>
        <v>1</v>
      </c>
      <c r="D40">
        <f ca="1" t="shared" si="3"/>
        <v>5</v>
      </c>
      <c r="E40">
        <f ca="1" t="shared" si="4"/>
        <v>0</v>
      </c>
      <c r="F40">
        <f ca="1" t="shared" si="5"/>
        <v>0</v>
      </c>
      <c r="G40">
        <f ca="1" t="shared" si="6"/>
        <v>6</v>
      </c>
      <c r="H40">
        <f ca="1" t="shared" si="7"/>
        <v>0</v>
      </c>
      <c r="I40">
        <f ca="1" t="shared" si="8"/>
        <v>0</v>
      </c>
      <c r="J40" s="394" t="s">
        <v>103</v>
      </c>
      <c r="K40" s="162" t="str">
        <f ca="1" t="shared" si="9"/>
        <v>1.5.6.</v>
      </c>
      <c r="L40" s="395" t="s">
        <v>232</v>
      </c>
      <c r="M40" s="395" t="s">
        <v>291</v>
      </c>
      <c r="N40" s="396" t="s">
        <v>323</v>
      </c>
      <c r="O40" s="397" t="s">
        <v>229</v>
      </c>
      <c r="P40" s="225">
        <f ca="1">OFFSET(PLQ!$E$12,ROW($P40)-ROW(P$12),0)</f>
        <v>3271.7</v>
      </c>
      <c r="Q40" s="229"/>
      <c r="R40" s="232" t="s">
        <v>7</v>
      </c>
      <c r="S40" s="121">
        <f t="shared" si="10"/>
        <v>0</v>
      </c>
      <c r="T40" s="98">
        <f ca="1" t="shared" si="11"/>
        <v>0</v>
      </c>
      <c r="U40" s="13" t="str">
        <f ca="1" t="shared" si="12"/>
        <v>SEM VALOR</v>
      </c>
      <c r="V40" s="4" t="str">
        <f ca="1">IF(OR($A40=0,$A40="S",$A40&gt;CFF!$A$9),"",MAX(V$12:OFFSET(V40,-1,0))+1)</f>
        <v/>
      </c>
      <c r="W40" s="9" t="str">
        <f t="shared" si="13"/>
        <v>SINAPI-72943</v>
      </c>
      <c r="X40" s="4" t="e">
        <f ca="1" t="shared" si="14"/>
        <v>#REF!</v>
      </c>
      <c r="Y40" s="121">
        <v>1.33</v>
      </c>
      <c r="Z40" s="132">
        <f ca="1">ROUND(IF(ISNUMBER(R40),R40,IF(LEFT(R40,3)="BDI",HLOOKUP(R40,DADOS!$T$37:$X$38,2,FALSE),0)),15-11*$X$5)</f>
        <v>0.2009</v>
      </c>
      <c r="AA40" s="4"/>
    </row>
    <row r="41" spans="1:27" ht="12.75" customHeight="1">
      <c r="A41" t="str">
        <f t="shared" si="0"/>
        <v>S</v>
      </c>
      <c r="B41">
        <f t="shared" si="1"/>
        <v>0</v>
      </c>
      <c r="C41">
        <f ca="1" t="shared" si="2"/>
        <v>1</v>
      </c>
      <c r="D41">
        <f ca="1" t="shared" si="3"/>
        <v>5</v>
      </c>
      <c r="E41">
        <f ca="1" t="shared" si="4"/>
        <v>0</v>
      </c>
      <c r="F41">
        <f ca="1" t="shared" si="5"/>
        <v>0</v>
      </c>
      <c r="G41">
        <f ca="1" t="shared" si="6"/>
        <v>7</v>
      </c>
      <c r="H41">
        <f ca="1" t="shared" si="7"/>
        <v>0</v>
      </c>
      <c r="I41">
        <f ca="1" t="shared" si="8"/>
        <v>0</v>
      </c>
      <c r="J41" s="394" t="s">
        <v>103</v>
      </c>
      <c r="K41" s="162" t="str">
        <f ca="1" t="shared" si="9"/>
        <v>1.5.7.</v>
      </c>
      <c r="L41" s="395" t="s">
        <v>232</v>
      </c>
      <c r="M41" s="395" t="s">
        <v>293</v>
      </c>
      <c r="N41" s="396" t="s">
        <v>292</v>
      </c>
      <c r="O41" s="397" t="s">
        <v>240</v>
      </c>
      <c r="P41" s="225">
        <f ca="1">OFFSET(PLQ!$E$12,ROW($P41)-ROW(P$12),0)</f>
        <v>98.18</v>
      </c>
      <c r="Q41" s="229"/>
      <c r="R41" s="232" t="s">
        <v>7</v>
      </c>
      <c r="S41" s="121">
        <f t="shared" si="10"/>
        <v>0</v>
      </c>
      <c r="T41" s="98">
        <f ca="1" t="shared" si="11"/>
        <v>0</v>
      </c>
      <c r="U41" s="13" t="str">
        <f ca="1" t="shared" si="12"/>
        <v>SEM VALOR</v>
      </c>
      <c r="V41" s="4" t="str">
        <f ca="1">IF(OR($A41=0,$A41="S",$A41&gt;CFF!$A$9),"",MAX(V$12:OFFSET(V41,-1,0))+1)</f>
        <v/>
      </c>
      <c r="W41" s="9" t="str">
        <f t="shared" si="13"/>
        <v>SINAPI-95992</v>
      </c>
      <c r="X41" s="4" t="e">
        <f ca="1" t="shared" si="14"/>
        <v>#REF!</v>
      </c>
      <c r="Y41" s="121">
        <v>582.44</v>
      </c>
      <c r="Z41" s="132">
        <f ca="1">ROUND(IF(ISNUMBER(R41),R41,IF(LEFT(R41,3)="BDI",HLOOKUP(R41,DADOS!$T$37:$X$38,2,FALSE),0)),15-11*$X$5)</f>
        <v>0.2009</v>
      </c>
      <c r="AA41" s="4"/>
    </row>
    <row r="42" spans="1:27" ht="12.75" customHeight="1">
      <c r="A42" t="str">
        <f t="shared" si="0"/>
        <v>S</v>
      </c>
      <c r="B42">
        <f t="shared" si="1"/>
        <v>0</v>
      </c>
      <c r="C42">
        <f ca="1" t="shared" si="2"/>
        <v>1</v>
      </c>
      <c r="D42">
        <f ca="1" t="shared" si="3"/>
        <v>5</v>
      </c>
      <c r="E42">
        <f ca="1" t="shared" si="4"/>
        <v>0</v>
      </c>
      <c r="F42">
        <f ca="1" t="shared" si="5"/>
        <v>0</v>
      </c>
      <c r="G42">
        <f ca="1" t="shared" si="6"/>
        <v>8</v>
      </c>
      <c r="H42">
        <f ca="1" t="shared" si="7"/>
        <v>0</v>
      </c>
      <c r="I42">
        <f ca="1" t="shared" si="8"/>
        <v>0</v>
      </c>
      <c r="J42" s="394" t="s">
        <v>103</v>
      </c>
      <c r="K42" s="162" t="str">
        <f ca="1" t="shared" si="9"/>
        <v>1.5.8.</v>
      </c>
      <c r="L42" s="395" t="s">
        <v>232</v>
      </c>
      <c r="M42" s="395" t="s">
        <v>266</v>
      </c>
      <c r="N42" s="396" t="s">
        <v>294</v>
      </c>
      <c r="O42" s="397" t="s">
        <v>288</v>
      </c>
      <c r="P42" s="225">
        <f ca="1">OFFSET(PLQ!$E$12,ROW($P42)-ROW(P$12),0)</f>
        <v>5398.7</v>
      </c>
      <c r="Q42" s="229"/>
      <c r="R42" s="232" t="s">
        <v>7</v>
      </c>
      <c r="S42" s="121">
        <f t="shared" si="10"/>
        <v>0</v>
      </c>
      <c r="T42" s="98">
        <f ca="1" t="shared" si="11"/>
        <v>0</v>
      </c>
      <c r="U42" s="13" t="str">
        <f ca="1" t="shared" si="12"/>
        <v>SEM VALOR</v>
      </c>
      <c r="V42" s="4" t="str">
        <f ca="1">IF(OR($A42=0,$A42="S",$A42&gt;CFF!$A$9),"",MAX(V$12:OFFSET(V42,-1,0))+1)</f>
        <v/>
      </c>
      <c r="W42" s="9" t="str">
        <f t="shared" si="13"/>
        <v>SINAPI-72887</v>
      </c>
      <c r="X42" s="4" t="e">
        <f ca="1" t="shared" si="14"/>
        <v>#REF!</v>
      </c>
      <c r="Y42" s="121">
        <v>0.9</v>
      </c>
      <c r="Z42" s="132">
        <f ca="1">ROUND(IF(ISNUMBER(R42),R42,IF(LEFT(R42,3)="BDI",HLOOKUP(R42,DADOS!$T$37:$X$38,2,FALSE),0)),15-11*$X$5)</f>
        <v>0.2009</v>
      </c>
      <c r="AA42" s="4"/>
    </row>
    <row r="43" spans="1:27" ht="12.75" customHeight="1">
      <c r="A43" t="str">
        <f t="shared" si="0"/>
        <v>S</v>
      </c>
      <c r="B43">
        <f t="shared" si="1"/>
        <v>0</v>
      </c>
      <c r="C43">
        <f ca="1" t="shared" si="2"/>
        <v>1</v>
      </c>
      <c r="D43">
        <f ca="1" t="shared" si="3"/>
        <v>5</v>
      </c>
      <c r="E43">
        <f ca="1" t="shared" si="4"/>
        <v>0</v>
      </c>
      <c r="F43">
        <f ca="1" t="shared" si="5"/>
        <v>0</v>
      </c>
      <c r="G43">
        <f ca="1" t="shared" si="6"/>
        <v>9</v>
      </c>
      <c r="H43">
        <f ca="1" t="shared" si="7"/>
        <v>0</v>
      </c>
      <c r="I43">
        <f ca="1" t="shared" si="8"/>
        <v>0</v>
      </c>
      <c r="J43" s="394" t="s">
        <v>103</v>
      </c>
      <c r="K43" s="162" t="str">
        <f ca="1" t="shared" si="9"/>
        <v>1.5.9.</v>
      </c>
      <c r="L43" s="395" t="s">
        <v>232</v>
      </c>
      <c r="M43" s="395" t="s">
        <v>291</v>
      </c>
      <c r="N43" s="396" t="s">
        <v>323</v>
      </c>
      <c r="O43" s="397" t="s">
        <v>240</v>
      </c>
      <c r="P43" s="225">
        <f ca="1">OFFSET(PLQ!$E$12,ROW($P43)-ROW(P$12),0)</f>
        <v>3271.7</v>
      </c>
      <c r="Q43" s="229"/>
      <c r="R43" s="232" t="s">
        <v>7</v>
      </c>
      <c r="S43" s="121">
        <f t="shared" si="10"/>
        <v>0</v>
      </c>
      <c r="T43" s="98">
        <f ca="1" t="shared" si="11"/>
        <v>0</v>
      </c>
      <c r="U43" s="13" t="str">
        <f ca="1" t="shared" si="12"/>
        <v>SEM VALOR</v>
      </c>
      <c r="V43" s="4" t="str">
        <f ca="1">IF(OR($A43=0,$A43="S",$A43&gt;CFF!$A$9),"",MAX(V$12:OFFSET(V43,-1,0))+1)</f>
        <v/>
      </c>
      <c r="W43" s="9" t="str">
        <f t="shared" si="13"/>
        <v>SINAPI-72943</v>
      </c>
      <c r="X43" s="4" t="e">
        <f ca="1" t="shared" si="14"/>
        <v>#REF!</v>
      </c>
      <c r="Y43" s="121">
        <v>1.33</v>
      </c>
      <c r="Z43" s="132">
        <f ca="1">ROUND(IF(ISNUMBER(R43),R43,IF(LEFT(R43,3)="BDI",HLOOKUP(R43,DADOS!$T$37:$X$38,2,FALSE),0)),15-11*$X$5)</f>
        <v>0.2009</v>
      </c>
      <c r="AA43" s="4"/>
    </row>
    <row r="44" spans="1:27" ht="12.75" customHeight="1">
      <c r="A44" t="str">
        <f t="shared" si="0"/>
        <v>S</v>
      </c>
      <c r="B44">
        <f t="shared" si="1"/>
        <v>0</v>
      </c>
      <c r="C44">
        <f ca="1" t="shared" si="2"/>
        <v>1</v>
      </c>
      <c r="D44">
        <f ca="1" t="shared" si="3"/>
        <v>5</v>
      </c>
      <c r="E44">
        <f ca="1" t="shared" si="4"/>
        <v>0</v>
      </c>
      <c r="F44">
        <f ca="1" t="shared" si="5"/>
        <v>0</v>
      </c>
      <c r="G44">
        <f ca="1" t="shared" si="6"/>
        <v>10</v>
      </c>
      <c r="H44">
        <f ca="1" t="shared" si="7"/>
        <v>0</v>
      </c>
      <c r="I44">
        <f ca="1" t="shared" si="8"/>
        <v>0</v>
      </c>
      <c r="J44" s="394" t="s">
        <v>103</v>
      </c>
      <c r="K44" s="162" t="str">
        <f ca="1" t="shared" si="9"/>
        <v>1.5.10.</v>
      </c>
      <c r="L44" s="395" t="s">
        <v>232</v>
      </c>
      <c r="M44" s="395" t="s">
        <v>296</v>
      </c>
      <c r="N44" s="396" t="s">
        <v>295</v>
      </c>
      <c r="O44" s="397" t="s">
        <v>240</v>
      </c>
      <c r="P44" s="225">
        <f ca="1">OFFSET(PLQ!$E$12,ROW($P44)-ROW(P$12),0)</f>
        <v>130.86</v>
      </c>
      <c r="Q44" s="229"/>
      <c r="R44" s="232" t="s">
        <v>7</v>
      </c>
      <c r="S44" s="121">
        <f t="shared" si="10"/>
        <v>0</v>
      </c>
      <c r="T44" s="98">
        <f ca="1" t="shared" si="11"/>
        <v>0</v>
      </c>
      <c r="U44" s="13" t="str">
        <f ca="1" t="shared" si="12"/>
        <v>SEM VALOR</v>
      </c>
      <c r="V44" s="4" t="str">
        <f ca="1">IF(OR($A44=0,$A44="S",$A44&gt;CFF!$A$9),"",MAX(V$12:OFFSET(V44,-1,0))+1)</f>
        <v/>
      </c>
      <c r="W44" s="9" t="str">
        <f t="shared" si="13"/>
        <v>SINAPI-95993</v>
      </c>
      <c r="X44" s="4" t="e">
        <f ca="1" t="shared" si="14"/>
        <v>#REF!</v>
      </c>
      <c r="Y44" s="121">
        <v>604.05</v>
      </c>
      <c r="Z44" s="132">
        <f ca="1">ROUND(IF(ISNUMBER(R44),R44,IF(LEFT(R44,3)="BDI",HLOOKUP(R44,DADOS!$T$37:$X$38,2,FALSE),0)),15-11*$X$5)</f>
        <v>0.2009</v>
      </c>
      <c r="AA44" s="4"/>
    </row>
    <row r="45" spans="1:27" ht="12.75" customHeight="1">
      <c r="A45" t="str">
        <f t="shared" si="0"/>
        <v>S</v>
      </c>
      <c r="B45">
        <f t="shared" si="1"/>
        <v>0</v>
      </c>
      <c r="C45">
        <f ca="1" t="shared" si="2"/>
        <v>1</v>
      </c>
      <c r="D45">
        <f ca="1" t="shared" si="3"/>
        <v>5</v>
      </c>
      <c r="E45">
        <f ca="1" t="shared" si="4"/>
        <v>0</v>
      </c>
      <c r="F45">
        <f ca="1" t="shared" si="5"/>
        <v>0</v>
      </c>
      <c r="G45">
        <f ca="1" t="shared" si="6"/>
        <v>11</v>
      </c>
      <c r="H45">
        <f ca="1" t="shared" si="7"/>
        <v>0</v>
      </c>
      <c r="I45">
        <f ca="1" t="shared" si="8"/>
        <v>0</v>
      </c>
      <c r="J45" s="394" t="s">
        <v>103</v>
      </c>
      <c r="K45" s="162" t="str">
        <f ca="1" t="shared" si="9"/>
        <v>1.5.11.</v>
      </c>
      <c r="L45" s="395" t="s">
        <v>232</v>
      </c>
      <c r="M45" s="395" t="s">
        <v>266</v>
      </c>
      <c r="N45" s="396" t="s">
        <v>294</v>
      </c>
      <c r="O45" s="397" t="s">
        <v>288</v>
      </c>
      <c r="P45" s="225">
        <f ca="1">OFFSET(PLQ!$E$12,ROW($P45)-ROW(P$12),0)</f>
        <v>7547.55</v>
      </c>
      <c r="Q45" s="229"/>
      <c r="R45" s="232" t="s">
        <v>7</v>
      </c>
      <c r="S45" s="121">
        <f t="shared" si="10"/>
        <v>0</v>
      </c>
      <c r="T45" s="98">
        <f ca="1" t="shared" si="11"/>
        <v>0</v>
      </c>
      <c r="U45" s="13" t="str">
        <f ca="1" t="shared" si="12"/>
        <v>SEM VALOR</v>
      </c>
      <c r="V45" s="4" t="str">
        <f ca="1">IF(OR($A45=0,$A45="S",$A45&gt;CFF!$A$9),"",MAX(V$12:OFFSET(V45,-1,0))+1)</f>
        <v/>
      </c>
      <c r="W45" s="9" t="str">
        <f t="shared" si="13"/>
        <v>SINAPI-72887</v>
      </c>
      <c r="X45" s="4" t="e">
        <f ca="1" t="shared" si="14"/>
        <v>#REF!</v>
      </c>
      <c r="Y45" s="121">
        <v>0.9</v>
      </c>
      <c r="Z45" s="132">
        <f ca="1">ROUND(IF(ISNUMBER(R45),R45,IF(LEFT(R45,3)="BDI",HLOOKUP(R45,DADOS!$T$37:$X$38,2,FALSE),0)),15-11*$X$5)</f>
        <v>0.2009</v>
      </c>
      <c r="AA45" s="4"/>
    </row>
    <row r="46" spans="1:27" ht="12.75" customHeight="1">
      <c r="A46" t="str">
        <f t="shared" si="0"/>
        <v>S</v>
      </c>
      <c r="B46">
        <f t="shared" si="1"/>
        <v>0</v>
      </c>
      <c r="C46">
        <f ca="1" t="shared" si="2"/>
        <v>1</v>
      </c>
      <c r="D46">
        <f ca="1" t="shared" si="3"/>
        <v>5</v>
      </c>
      <c r="E46">
        <f ca="1" t="shared" si="4"/>
        <v>0</v>
      </c>
      <c r="F46">
        <f ca="1" t="shared" si="5"/>
        <v>0</v>
      </c>
      <c r="G46">
        <f ca="1" t="shared" si="6"/>
        <v>12</v>
      </c>
      <c r="H46">
        <f ca="1" t="shared" si="7"/>
        <v>0</v>
      </c>
      <c r="I46">
        <f ca="1" t="shared" si="8"/>
        <v>0</v>
      </c>
      <c r="J46" s="394" t="s">
        <v>103</v>
      </c>
      <c r="K46" s="162" t="str">
        <f ca="1" t="shared" si="9"/>
        <v>1.5.12.</v>
      </c>
      <c r="L46" s="395" t="s">
        <v>232</v>
      </c>
      <c r="M46" s="395" t="s">
        <v>298</v>
      </c>
      <c r="N46" s="396" t="s">
        <v>297</v>
      </c>
      <c r="O46" s="397" t="s">
        <v>235</v>
      </c>
      <c r="P46" s="225">
        <f ca="1">OFFSET(PLQ!$E$12,ROW($P46)-ROW(P$12),0)</f>
        <v>4</v>
      </c>
      <c r="Q46" s="229"/>
      <c r="R46" s="232" t="s">
        <v>7</v>
      </c>
      <c r="S46" s="121">
        <f t="shared" si="10"/>
        <v>0</v>
      </c>
      <c r="T46" s="98">
        <f ca="1" t="shared" si="11"/>
        <v>0</v>
      </c>
      <c r="U46" s="13" t="str">
        <f ca="1" t="shared" si="12"/>
        <v>SEM VALOR</v>
      </c>
      <c r="V46" s="4" t="str">
        <f ca="1">IF(OR($A46=0,$A46="S",$A46&gt;CFF!$A$9),"",MAX(V$12:OFFSET(V46,-1,0))+1)</f>
        <v/>
      </c>
      <c r="W46" s="9" t="str">
        <f t="shared" si="13"/>
        <v>SINAPI-91127</v>
      </c>
      <c r="X46" s="4" t="e">
        <f ca="1" t="shared" si="14"/>
        <v>#REF!</v>
      </c>
      <c r="Y46" s="121">
        <v>314.64</v>
      </c>
      <c r="Z46" s="132">
        <f ca="1">ROUND(IF(ISNUMBER(R46),R46,IF(LEFT(R46,3)="BDI",HLOOKUP(R46,DADOS!$T$37:$X$38,2,FALSE),0)),15-11*$X$5)</f>
        <v>0.2009</v>
      </c>
      <c r="AA46" s="4"/>
    </row>
    <row r="47" spans="1:27" ht="12.75" customHeight="1">
      <c r="A47" t="str">
        <f t="shared" si="0"/>
        <v>S</v>
      </c>
      <c r="B47">
        <f t="shared" si="1"/>
        <v>0</v>
      </c>
      <c r="C47">
        <f ca="1" t="shared" si="2"/>
        <v>1</v>
      </c>
      <c r="D47">
        <f ca="1" t="shared" si="3"/>
        <v>5</v>
      </c>
      <c r="E47">
        <f ca="1" t="shared" si="4"/>
        <v>0</v>
      </c>
      <c r="F47">
        <f ca="1" t="shared" si="5"/>
        <v>0</v>
      </c>
      <c r="G47">
        <f ca="1" t="shared" si="6"/>
        <v>13</v>
      </c>
      <c r="H47">
        <f ca="1" t="shared" si="7"/>
        <v>0</v>
      </c>
      <c r="I47">
        <f ca="1" t="shared" si="8"/>
        <v>0</v>
      </c>
      <c r="J47" s="394" t="s">
        <v>103</v>
      </c>
      <c r="K47" s="162" t="str">
        <f ca="1" t="shared" si="9"/>
        <v>1.5.13.</v>
      </c>
      <c r="L47" s="395" t="s">
        <v>232</v>
      </c>
      <c r="M47" s="395" t="s">
        <v>249</v>
      </c>
      <c r="N47" s="396" t="s">
        <v>248</v>
      </c>
      <c r="O47" s="397" t="s">
        <v>235</v>
      </c>
      <c r="P47" s="225">
        <f ca="1">OFFSET(PLQ!$E$12,ROW($P47)-ROW(P$12),0)</f>
        <v>3</v>
      </c>
      <c r="Q47" s="229"/>
      <c r="R47" s="232" t="s">
        <v>7</v>
      </c>
      <c r="S47" s="121">
        <f t="shared" si="10"/>
        <v>0</v>
      </c>
      <c r="T47" s="98">
        <f ca="1" t="shared" si="11"/>
        <v>0</v>
      </c>
      <c r="U47" s="13" t="str">
        <f ca="1" t="shared" si="12"/>
        <v>SEM VALOR</v>
      </c>
      <c r="V47" s="4" t="str">
        <f ca="1">IF(OR($A47=0,$A47="S",$A47&gt;CFF!$A$9),"",MAX(V$12:OFFSET(V47,-1,0))+1)</f>
        <v/>
      </c>
      <c r="W47" s="9" t="str">
        <f t="shared" si="13"/>
        <v>SINAPI-91131</v>
      </c>
      <c r="X47" s="4" t="e">
        <f ca="1" t="shared" si="14"/>
        <v>#REF!</v>
      </c>
      <c r="Y47" s="121">
        <v>314.64</v>
      </c>
      <c r="Z47" s="132">
        <f ca="1">ROUND(IF(ISNUMBER(R47),R47,IF(LEFT(R47,3)="BDI",HLOOKUP(R47,DADOS!$T$37:$X$38,2,FALSE),0)),15-11*$X$5)</f>
        <v>0.2009</v>
      </c>
      <c r="AA47" s="4"/>
    </row>
    <row r="48" spans="1:27" ht="12.75" customHeight="1">
      <c r="A48" t="str">
        <f t="shared" si="0"/>
        <v>S</v>
      </c>
      <c r="B48">
        <f t="shared" si="1"/>
        <v>0</v>
      </c>
      <c r="C48">
        <f ca="1" t="shared" si="2"/>
        <v>1</v>
      </c>
      <c r="D48">
        <f ca="1" t="shared" si="3"/>
        <v>5</v>
      </c>
      <c r="E48">
        <f ca="1" t="shared" si="4"/>
        <v>0</v>
      </c>
      <c r="F48">
        <f ca="1" t="shared" si="5"/>
        <v>0</v>
      </c>
      <c r="G48">
        <f ca="1" t="shared" si="6"/>
        <v>14</v>
      </c>
      <c r="H48">
        <f ca="1" t="shared" si="7"/>
        <v>0</v>
      </c>
      <c r="I48">
        <f ca="1" t="shared" si="8"/>
        <v>0</v>
      </c>
      <c r="J48" s="394" t="s">
        <v>103</v>
      </c>
      <c r="K48" s="162" t="str">
        <f ca="1" t="shared" si="9"/>
        <v>1.5.14.</v>
      </c>
      <c r="L48" s="395" t="s">
        <v>232</v>
      </c>
      <c r="M48" s="395" t="s">
        <v>250</v>
      </c>
      <c r="N48" s="396" t="s">
        <v>299</v>
      </c>
      <c r="O48" s="397" t="s">
        <v>235</v>
      </c>
      <c r="P48" s="225">
        <f ca="1">OFFSET(PLQ!$E$12,ROW($P48)-ROW(P$12),0)</f>
        <v>4</v>
      </c>
      <c r="Q48" s="229"/>
      <c r="R48" s="232" t="s">
        <v>7</v>
      </c>
      <c r="S48" s="121">
        <f t="shared" si="10"/>
        <v>0</v>
      </c>
      <c r="T48" s="98">
        <f ca="1" t="shared" si="11"/>
        <v>0</v>
      </c>
      <c r="U48" s="13" t="str">
        <f ca="1" t="shared" si="12"/>
        <v>SEM VALOR</v>
      </c>
      <c r="V48" s="4" t="str">
        <f ca="1">IF(OR($A48=0,$A48="S",$A48&gt;CFF!$A$9),"",MAX(V$12:OFFSET(V48,-1,0))+1)</f>
        <v/>
      </c>
      <c r="W48" s="9" t="str">
        <f t="shared" si="13"/>
        <v>SINAPI-94802</v>
      </c>
      <c r="X48" s="4" t="e">
        <f ca="1" t="shared" si="14"/>
        <v>#REF!</v>
      </c>
      <c r="Y48" s="121">
        <v>391.06</v>
      </c>
      <c r="Z48" s="132">
        <f ca="1">ROUND(IF(ISNUMBER(R48),R48,IF(LEFT(R48,3)="BDI",HLOOKUP(R48,DADOS!$T$37:$X$38,2,FALSE),0)),15-11*$X$5)</f>
        <v>0.2009</v>
      </c>
      <c r="AA48" s="4"/>
    </row>
    <row r="49" spans="1:27" ht="12.75" customHeight="1">
      <c r="A49" t="str">
        <f t="shared" si="0"/>
        <v>S</v>
      </c>
      <c r="B49">
        <f t="shared" si="1"/>
        <v>0</v>
      </c>
      <c r="C49">
        <f ca="1" t="shared" si="2"/>
        <v>1</v>
      </c>
      <c r="D49">
        <f ca="1" t="shared" si="3"/>
        <v>5</v>
      </c>
      <c r="E49">
        <f ca="1" t="shared" si="4"/>
        <v>0</v>
      </c>
      <c r="F49">
        <f ca="1" t="shared" si="5"/>
        <v>0</v>
      </c>
      <c r="G49">
        <f ca="1" t="shared" si="6"/>
        <v>15</v>
      </c>
      <c r="H49">
        <f ca="1" t="shared" si="7"/>
        <v>0</v>
      </c>
      <c r="I49">
        <f ca="1" t="shared" si="8"/>
        <v>0</v>
      </c>
      <c r="J49" s="394" t="s">
        <v>103</v>
      </c>
      <c r="K49" s="162" t="str">
        <f ca="1" t="shared" si="9"/>
        <v>1.5.15.</v>
      </c>
      <c r="L49" s="395" t="s">
        <v>232</v>
      </c>
      <c r="M49" s="395" t="s">
        <v>239</v>
      </c>
      <c r="N49" s="396" t="s">
        <v>300</v>
      </c>
      <c r="O49" s="397" t="s">
        <v>229</v>
      </c>
      <c r="P49" s="225">
        <f ca="1">OFFSET(PLQ!$E$12,ROW($P49)-ROW(P$12),0)</f>
        <v>1.92</v>
      </c>
      <c r="Q49" s="229"/>
      <c r="R49" s="232" t="s">
        <v>7</v>
      </c>
      <c r="S49" s="121">
        <f t="shared" si="10"/>
        <v>0</v>
      </c>
      <c r="T49" s="98">
        <f ca="1" t="shared" si="11"/>
        <v>0</v>
      </c>
      <c r="U49" s="13" t="str">
        <f ca="1" t="shared" si="12"/>
        <v>SEM VALOR</v>
      </c>
      <c r="V49" s="4" t="str">
        <f ca="1">IF(OR($A49=0,$A49="S",$A49&gt;CFF!$A$9),"",MAX(V$12:OFFSET(V49,-1,0))+1)</f>
        <v/>
      </c>
      <c r="W49" s="9" t="str">
        <f t="shared" si="13"/>
        <v>SINAPI-34723</v>
      </c>
      <c r="X49" s="4" t="e">
        <f ca="1" t="shared" si="14"/>
        <v>#REF!</v>
      </c>
      <c r="Y49" s="121">
        <v>825.29</v>
      </c>
      <c r="Z49" s="132">
        <f ca="1">ROUND(IF(ISNUMBER(R49),R49,IF(LEFT(R49,3)="BDI",HLOOKUP(R49,DADOS!$T$37:$X$38,2,FALSE),0)),15-11*$X$5)</f>
        <v>0.2009</v>
      </c>
      <c r="AA49" s="4"/>
    </row>
    <row r="50" spans="1:27" ht="12.75" customHeight="1">
      <c r="A50" t="str">
        <f t="shared" si="0"/>
        <v>S</v>
      </c>
      <c r="B50">
        <f t="shared" si="1"/>
        <v>0</v>
      </c>
      <c r="C50">
        <f ca="1" t="shared" si="2"/>
        <v>1</v>
      </c>
      <c r="D50">
        <f ca="1" t="shared" si="3"/>
        <v>5</v>
      </c>
      <c r="E50">
        <f ca="1" t="shared" si="4"/>
        <v>0</v>
      </c>
      <c r="F50">
        <f ca="1" t="shared" si="5"/>
        <v>0</v>
      </c>
      <c r="G50">
        <f ca="1" t="shared" si="6"/>
        <v>16</v>
      </c>
      <c r="H50">
        <f ca="1" t="shared" si="7"/>
        <v>0</v>
      </c>
      <c r="I50">
        <f ca="1" t="shared" si="8"/>
        <v>0</v>
      </c>
      <c r="J50" s="394" t="s">
        <v>103</v>
      </c>
      <c r="K50" s="162" t="str">
        <f ca="1" t="shared" si="9"/>
        <v>1.5.16.</v>
      </c>
      <c r="L50" s="395" t="s">
        <v>232</v>
      </c>
      <c r="M50" s="395" t="s">
        <v>239</v>
      </c>
      <c r="N50" s="396" t="s">
        <v>300</v>
      </c>
      <c r="O50" s="397" t="s">
        <v>229</v>
      </c>
      <c r="P50" s="225">
        <f ca="1">OFFSET(PLQ!$E$12,ROW($P50)-ROW(P$12),0)</f>
        <v>1.92</v>
      </c>
      <c r="Q50" s="229"/>
      <c r="R50" s="232" t="s">
        <v>7</v>
      </c>
      <c r="S50" s="121">
        <f t="shared" si="10"/>
        <v>0</v>
      </c>
      <c r="T50" s="98">
        <f ca="1" t="shared" si="11"/>
        <v>0</v>
      </c>
      <c r="U50" s="13" t="str">
        <f ca="1" t="shared" si="12"/>
        <v>SEM VALOR</v>
      </c>
      <c r="V50" s="4" t="str">
        <f ca="1">IF(OR($A50=0,$A50="S",$A50&gt;CFF!$A$9),"",MAX(V$12:OFFSET(V50,-1,0))+1)</f>
        <v/>
      </c>
      <c r="W50" s="9" t="str">
        <f t="shared" si="13"/>
        <v>SINAPI-34723</v>
      </c>
      <c r="X50" s="4" t="e">
        <f ca="1" t="shared" si="14"/>
        <v>#REF!</v>
      </c>
      <c r="Y50" s="121">
        <v>825.29</v>
      </c>
      <c r="Z50" s="132">
        <f ca="1">ROUND(IF(ISNUMBER(R50),R50,IF(LEFT(R50,3)="BDI",HLOOKUP(R50,DADOS!$T$37:$X$38,2,FALSE),0)),15-11*$X$5)</f>
        <v>0.2009</v>
      </c>
      <c r="AA50" s="4"/>
    </row>
    <row r="51" spans="1:27" ht="12.75" customHeight="1">
      <c r="A51">
        <f t="shared" si="0"/>
        <v>2</v>
      </c>
      <c r="B51">
        <f ca="1" t="shared" si="1"/>
        <v>2</v>
      </c>
      <c r="C51">
        <f ca="1" t="shared" si="2"/>
        <v>1</v>
      </c>
      <c r="D51">
        <f ca="1" t="shared" si="3"/>
        <v>6</v>
      </c>
      <c r="E51">
        <f ca="1" t="shared" si="4"/>
        <v>0</v>
      </c>
      <c r="F51">
        <f ca="1" t="shared" si="5"/>
        <v>0</v>
      </c>
      <c r="G51">
        <f ca="1" t="shared" si="6"/>
        <v>0</v>
      </c>
      <c r="H51">
        <f ca="1" t="shared" si="7"/>
        <v>9</v>
      </c>
      <c r="I51">
        <f ca="1" t="shared" si="8"/>
        <v>2</v>
      </c>
      <c r="J51" s="394" t="s">
        <v>100</v>
      </c>
      <c r="K51" s="162" t="str">
        <f ca="1" t="shared" si="9"/>
        <v>1.6.</v>
      </c>
      <c r="L51" s="395"/>
      <c r="M51" s="395"/>
      <c r="N51" s="396" t="s">
        <v>301</v>
      </c>
      <c r="O51" s="397" t="s">
        <v>106</v>
      </c>
      <c r="P51" s="225">
        <f ca="1">OFFSET(PLQ!$E$12,ROW($P51)-ROW(P$12),0)</f>
        <v>0</v>
      </c>
      <c r="Q51" s="229"/>
      <c r="R51" s="232" t="s">
        <v>7</v>
      </c>
      <c r="S51" s="121">
        <f t="shared" si="10"/>
        <v>0</v>
      </c>
      <c r="T51" s="98">
        <f ca="1" t="shared" si="11"/>
        <v>0</v>
      </c>
      <c r="U51" s="13" t="str">
        <f ca="1" t="shared" si="12"/>
        <v>SEM VALOR</v>
      </c>
      <c r="V51" s="4">
        <f ca="1">IF(OR($A51=0,$A51="S",$A51&gt;CFF!$A$9),"",MAX(V$12:OFFSET(V51,-1,0))+1)</f>
        <v>7</v>
      </c>
      <c r="W51" s="9" t="b">
        <f t="shared" si="13"/>
        <v>0</v>
      </c>
      <c r="X51" s="4" t="str">
        <f ca="1" t="shared" si="14"/>
        <v>X</v>
      </c>
      <c r="Y51" s="121">
        <v>0</v>
      </c>
      <c r="Z51" s="132">
        <f ca="1">ROUND(IF(ISNUMBER(R51),R51,IF(LEFT(R51,3)="BDI",HLOOKUP(R51,DADOS!$T$37:$X$38,2,FALSE),0)),15-11*$X$5)</f>
        <v>0.2009</v>
      </c>
      <c r="AA51" s="4"/>
    </row>
    <row r="52" spans="1:27" ht="12.75" customHeight="1">
      <c r="A52" t="str">
        <f t="shared" si="0"/>
        <v>S</v>
      </c>
      <c r="B52">
        <f t="shared" si="1"/>
        <v>0</v>
      </c>
      <c r="C52">
        <f ca="1" t="shared" si="2"/>
        <v>1</v>
      </c>
      <c r="D52">
        <f ca="1" t="shared" si="3"/>
        <v>6</v>
      </c>
      <c r="E52">
        <f ca="1" t="shared" si="4"/>
        <v>0</v>
      </c>
      <c r="F52">
        <f ca="1" t="shared" si="5"/>
        <v>0</v>
      </c>
      <c r="G52">
        <f ca="1" t="shared" si="6"/>
        <v>1</v>
      </c>
      <c r="H52">
        <f ca="1" t="shared" si="7"/>
        <v>0</v>
      </c>
      <c r="I52">
        <f ca="1" t="shared" si="8"/>
        <v>0</v>
      </c>
      <c r="J52" s="394" t="s">
        <v>103</v>
      </c>
      <c r="K52" s="162" t="str">
        <f ca="1" t="shared" si="9"/>
        <v>1.6.1.</v>
      </c>
      <c r="L52" s="395" t="s">
        <v>232</v>
      </c>
      <c r="M52" s="395" t="s">
        <v>303</v>
      </c>
      <c r="N52" s="396" t="s">
        <v>302</v>
      </c>
      <c r="O52" s="397" t="s">
        <v>229</v>
      </c>
      <c r="P52" s="225">
        <f ca="1">OFFSET(PLQ!$E$12,ROW($P52)-ROW(P$12),0)</f>
        <v>169.05</v>
      </c>
      <c r="Q52" s="229"/>
      <c r="R52" s="232" t="s">
        <v>7</v>
      </c>
      <c r="S52" s="121">
        <f t="shared" si="10"/>
        <v>0</v>
      </c>
      <c r="T52" s="98">
        <f ca="1" t="shared" si="11"/>
        <v>0</v>
      </c>
      <c r="U52" s="13" t="str">
        <f ca="1" t="shared" si="12"/>
        <v>SEM VALOR</v>
      </c>
      <c r="V52" s="4" t="str">
        <f ca="1">IF(OR($A52=0,$A52="S",$A52&gt;CFF!$A$9),"",MAX(V$12:OFFSET(V52,-1,0))+1)</f>
        <v/>
      </c>
      <c r="W52" s="9" t="str">
        <f t="shared" si="13"/>
        <v>SINAPI-72947</v>
      </c>
      <c r="X52" s="4" t="e">
        <f ca="1" t="shared" si="14"/>
        <v>#REF!</v>
      </c>
      <c r="Y52" s="121">
        <v>20.27</v>
      </c>
      <c r="Z52" s="132">
        <f ca="1">ROUND(IF(ISNUMBER(R52),R52,IF(LEFT(R52,3)="BDI",HLOOKUP(R52,DADOS!$T$37:$X$38,2,FALSE),0)),15-11*$X$5)</f>
        <v>0.2009</v>
      </c>
      <c r="AA52" s="4"/>
    </row>
    <row r="53" spans="1:27" ht="12.75" customHeight="1">
      <c r="A53">
        <f t="shared" si="0"/>
        <v>2</v>
      </c>
      <c r="B53">
        <f ca="1" t="shared" si="1"/>
        <v>5</v>
      </c>
      <c r="C53">
        <f ca="1" t="shared" si="2"/>
        <v>1</v>
      </c>
      <c r="D53">
        <f ca="1" t="shared" si="3"/>
        <v>7</v>
      </c>
      <c r="E53">
        <f ca="1" t="shared" si="4"/>
        <v>0</v>
      </c>
      <c r="F53">
        <f ca="1" t="shared" si="5"/>
        <v>0</v>
      </c>
      <c r="G53">
        <f ca="1" t="shared" si="6"/>
        <v>0</v>
      </c>
      <c r="H53">
        <f ca="1" t="shared" si="7"/>
        <v>7</v>
      </c>
      <c r="I53">
        <f ca="1" t="shared" si="8"/>
        <v>5</v>
      </c>
      <c r="J53" s="394" t="s">
        <v>100</v>
      </c>
      <c r="K53" s="162" t="str">
        <f ca="1" t="shared" si="9"/>
        <v>1.7.</v>
      </c>
      <c r="L53" s="395"/>
      <c r="M53" s="395"/>
      <c r="N53" s="396" t="s">
        <v>304</v>
      </c>
      <c r="O53" s="397" t="s">
        <v>106</v>
      </c>
      <c r="P53" s="225">
        <f ca="1">OFFSET(PLQ!$E$12,ROW($P53)-ROW(P$12),0)</f>
        <v>0</v>
      </c>
      <c r="Q53" s="229"/>
      <c r="R53" s="232" t="s">
        <v>7</v>
      </c>
      <c r="S53" s="121">
        <f t="shared" si="10"/>
        <v>0</v>
      </c>
      <c r="T53" s="98">
        <f ca="1" t="shared" si="11"/>
        <v>0</v>
      </c>
      <c r="U53" s="13" t="str">
        <f ca="1" t="shared" si="12"/>
        <v>SEM VALOR</v>
      </c>
      <c r="V53" s="4">
        <f ca="1">IF(OR($A53=0,$A53="S",$A53&gt;CFF!$A$9),"",MAX(V$12:OFFSET(V53,-1,0))+1)</f>
        <v>8</v>
      </c>
      <c r="W53" s="9" t="b">
        <f t="shared" si="13"/>
        <v>0</v>
      </c>
      <c r="X53" s="4" t="str">
        <f ca="1" t="shared" si="14"/>
        <v>X</v>
      </c>
      <c r="Y53" s="121">
        <v>0</v>
      </c>
      <c r="Z53" s="132">
        <f ca="1">ROUND(IF(ISNUMBER(R53),R53,IF(LEFT(R53,3)="BDI",HLOOKUP(R53,DADOS!$T$37:$X$38,2,FALSE),0)),15-11*$X$5)</f>
        <v>0.2009</v>
      </c>
      <c r="AA53" s="4"/>
    </row>
    <row r="54" spans="1:27" ht="12.75" customHeight="1">
      <c r="A54" t="str">
        <f t="shared" si="0"/>
        <v>S</v>
      </c>
      <c r="B54">
        <f t="shared" si="1"/>
        <v>0</v>
      </c>
      <c r="C54">
        <f ca="1" t="shared" si="2"/>
        <v>1</v>
      </c>
      <c r="D54">
        <f ca="1" t="shared" si="3"/>
        <v>7</v>
      </c>
      <c r="E54">
        <f ca="1" t="shared" si="4"/>
        <v>0</v>
      </c>
      <c r="F54">
        <f ca="1" t="shared" si="5"/>
        <v>0</v>
      </c>
      <c r="G54">
        <f ca="1" t="shared" si="6"/>
        <v>1</v>
      </c>
      <c r="H54">
        <f ca="1" t="shared" si="7"/>
        <v>0</v>
      </c>
      <c r="I54">
        <f ca="1" t="shared" si="8"/>
        <v>0</v>
      </c>
      <c r="J54" s="394" t="s">
        <v>103</v>
      </c>
      <c r="K54" s="162" t="str">
        <f ca="1" t="shared" si="9"/>
        <v>1.7.1.</v>
      </c>
      <c r="L54" s="395" t="s">
        <v>232</v>
      </c>
      <c r="M54" s="395" t="s">
        <v>306</v>
      </c>
      <c r="N54" s="396" t="s">
        <v>305</v>
      </c>
      <c r="O54" s="397" t="s">
        <v>235</v>
      </c>
      <c r="P54" s="225">
        <f ca="1">OFFSET(PLQ!$E$12,ROW($P54)-ROW(P$12),0)</f>
        <v>8</v>
      </c>
      <c r="Q54" s="229"/>
      <c r="R54" s="232" t="s">
        <v>7</v>
      </c>
      <c r="S54" s="121">
        <f t="shared" si="10"/>
        <v>0</v>
      </c>
      <c r="T54" s="98">
        <f ca="1" t="shared" si="11"/>
        <v>0</v>
      </c>
      <c r="U54" s="13" t="str">
        <f ca="1" t="shared" si="12"/>
        <v>SEM VALOR</v>
      </c>
      <c r="V54" s="4" t="str">
        <f ca="1">IF(OR($A54=0,$A54="S",$A54&gt;CFF!$A$9),"",MAX(V$12:OFFSET(V54,-1,0))+1)</f>
        <v/>
      </c>
      <c r="W54" s="9" t="str">
        <f t="shared" si="13"/>
        <v>SINAPI-74022/056</v>
      </c>
      <c r="X54" s="4" t="e">
        <f ca="1" t="shared" si="14"/>
        <v>#REF!</v>
      </c>
      <c r="Y54" s="121">
        <v>59.64</v>
      </c>
      <c r="Z54" s="132">
        <f ca="1">ROUND(IF(ISNUMBER(R54),R54,IF(LEFT(R54,3)="BDI",HLOOKUP(R54,DADOS!$T$37:$X$38,2,FALSE),0)),15-11*$X$5)</f>
        <v>0.2009</v>
      </c>
      <c r="AA54" s="4"/>
    </row>
    <row r="55" spans="1:27" ht="12.75" customHeight="1">
      <c r="A55" t="str">
        <f t="shared" si="0"/>
        <v>S</v>
      </c>
      <c r="B55">
        <f t="shared" si="1"/>
        <v>0</v>
      </c>
      <c r="C55">
        <f ca="1" t="shared" si="2"/>
        <v>1</v>
      </c>
      <c r="D55">
        <f ca="1" t="shared" si="3"/>
        <v>7</v>
      </c>
      <c r="E55">
        <f ca="1" t="shared" si="4"/>
        <v>0</v>
      </c>
      <c r="F55">
        <f ca="1" t="shared" si="5"/>
        <v>0</v>
      </c>
      <c r="G55">
        <f ca="1" t="shared" si="6"/>
        <v>2</v>
      </c>
      <c r="H55">
        <f ca="1" t="shared" si="7"/>
        <v>0</v>
      </c>
      <c r="I55">
        <f ca="1" t="shared" si="8"/>
        <v>0</v>
      </c>
      <c r="J55" s="394" t="s">
        <v>103</v>
      </c>
      <c r="K55" s="162" t="str">
        <f ca="1" t="shared" si="9"/>
        <v>1.7.2.</v>
      </c>
      <c r="L55" s="395" t="s">
        <v>232</v>
      </c>
      <c r="M55" s="395" t="s">
        <v>308</v>
      </c>
      <c r="N55" s="396" t="s">
        <v>307</v>
      </c>
      <c r="O55" s="397" t="s">
        <v>235</v>
      </c>
      <c r="P55" s="225">
        <f ca="1">OFFSET(PLQ!$E$12,ROW($P55)-ROW(P$12),0)</f>
        <v>8</v>
      </c>
      <c r="Q55" s="229"/>
      <c r="R55" s="232" t="s">
        <v>7</v>
      </c>
      <c r="S55" s="121">
        <f t="shared" si="10"/>
        <v>0</v>
      </c>
      <c r="T55" s="98">
        <f ca="1" t="shared" si="11"/>
        <v>0</v>
      </c>
      <c r="U55" s="13" t="str">
        <f ca="1" t="shared" si="12"/>
        <v>SEM VALOR</v>
      </c>
      <c r="V55" s="4" t="str">
        <f ca="1">IF(OR($A55=0,$A55="S",$A55&gt;CFF!$A$9),"",MAX(V$12:OFFSET(V55,-1,0))+1)</f>
        <v/>
      </c>
      <c r="W55" s="9" t="str">
        <f t="shared" si="13"/>
        <v>SINAPI-74022/053</v>
      </c>
      <c r="X55" s="4" t="e">
        <f ca="1" t="shared" si="14"/>
        <v>#REF!</v>
      </c>
      <c r="Y55" s="121">
        <v>72.53</v>
      </c>
      <c r="Z55" s="132">
        <f ca="1">ROUND(IF(ISNUMBER(R55),R55,IF(LEFT(R55,3)="BDI",HLOOKUP(R55,DADOS!$T$37:$X$38,2,FALSE),0)),15-11*$X$5)</f>
        <v>0.2009</v>
      </c>
      <c r="AA55" s="4"/>
    </row>
    <row r="56" spans="1:27" ht="12.75" customHeight="1">
      <c r="A56" t="str">
        <f t="shared" si="0"/>
        <v>S</v>
      </c>
      <c r="B56">
        <f t="shared" si="1"/>
        <v>0</v>
      </c>
      <c r="C56">
        <f ca="1" t="shared" si="2"/>
        <v>1</v>
      </c>
      <c r="D56">
        <f ca="1" t="shared" si="3"/>
        <v>7</v>
      </c>
      <c r="E56">
        <f ca="1" t="shared" si="4"/>
        <v>0</v>
      </c>
      <c r="F56">
        <f ca="1" t="shared" si="5"/>
        <v>0</v>
      </c>
      <c r="G56">
        <f ca="1" t="shared" si="6"/>
        <v>3</v>
      </c>
      <c r="H56">
        <f ca="1" t="shared" si="7"/>
        <v>0</v>
      </c>
      <c r="I56">
        <f ca="1" t="shared" si="8"/>
        <v>0</v>
      </c>
      <c r="J56" s="394" t="s">
        <v>103</v>
      </c>
      <c r="K56" s="162" t="str">
        <f ca="1" t="shared" si="9"/>
        <v>1.7.3.</v>
      </c>
      <c r="L56" s="395" t="s">
        <v>232</v>
      </c>
      <c r="M56" s="395" t="s">
        <v>310</v>
      </c>
      <c r="N56" s="396" t="s">
        <v>309</v>
      </c>
      <c r="O56" s="397" t="s">
        <v>235</v>
      </c>
      <c r="P56" s="225">
        <f ca="1">OFFSET(PLQ!$E$12,ROW($P56)-ROW(P$12),0)</f>
        <v>8</v>
      </c>
      <c r="Q56" s="229"/>
      <c r="R56" s="232" t="s">
        <v>7</v>
      </c>
      <c r="S56" s="121">
        <f t="shared" si="10"/>
        <v>0</v>
      </c>
      <c r="T56" s="98">
        <f ca="1" t="shared" si="11"/>
        <v>0</v>
      </c>
      <c r="U56" s="13" t="str">
        <f ca="1" t="shared" si="12"/>
        <v>SEM VALOR</v>
      </c>
      <c r="V56" s="4" t="str">
        <f ca="1">IF(OR($A56=0,$A56="S",$A56&gt;CFF!$A$9),"",MAX(V$12:OFFSET(V56,-1,0))+1)</f>
        <v/>
      </c>
      <c r="W56" s="9" t="str">
        <f t="shared" si="13"/>
        <v xml:space="preserve">SINAPI-74022/052 </v>
      </c>
      <c r="X56" s="4" t="e">
        <f ca="1" t="shared" si="14"/>
        <v>#REF!</v>
      </c>
      <c r="Y56" s="121">
        <v>80.6</v>
      </c>
      <c r="Z56" s="132">
        <f ca="1">ROUND(IF(ISNUMBER(R56),R56,IF(LEFT(R56,3)="BDI",HLOOKUP(R56,DADOS!$T$37:$X$38,2,FALSE),0)),15-11*$X$5)</f>
        <v>0.2009</v>
      </c>
      <c r="AA56" s="4"/>
    </row>
    <row r="57" spans="1:27" ht="12.75" customHeight="1">
      <c r="A57" t="str">
        <f t="shared" si="0"/>
        <v>S</v>
      </c>
      <c r="B57">
        <f t="shared" si="1"/>
        <v>0</v>
      </c>
      <c r="C57">
        <f ca="1" t="shared" si="2"/>
        <v>1</v>
      </c>
      <c r="D57">
        <f ca="1" t="shared" si="3"/>
        <v>7</v>
      </c>
      <c r="E57">
        <f ca="1" t="shared" si="4"/>
        <v>0</v>
      </c>
      <c r="F57">
        <f ca="1" t="shared" si="5"/>
        <v>0</v>
      </c>
      <c r="G57">
        <f ca="1" t="shared" si="6"/>
        <v>4</v>
      </c>
      <c r="H57">
        <f ca="1" t="shared" si="7"/>
        <v>0</v>
      </c>
      <c r="I57">
        <f ca="1" t="shared" si="8"/>
        <v>0</v>
      </c>
      <c r="J57" s="394" t="s">
        <v>103</v>
      </c>
      <c r="K57" s="162" t="str">
        <f ca="1" t="shared" si="9"/>
        <v>1.7.4.</v>
      </c>
      <c r="L57" s="395" t="s">
        <v>232</v>
      </c>
      <c r="M57" s="395" t="s">
        <v>312</v>
      </c>
      <c r="N57" s="396" t="s">
        <v>311</v>
      </c>
      <c r="O57" s="397" t="s">
        <v>235</v>
      </c>
      <c r="P57" s="225">
        <f ca="1">OFFSET(PLQ!$E$12,ROW($P57)-ROW(P$12),0)</f>
        <v>8</v>
      </c>
      <c r="Q57" s="229"/>
      <c r="R57" s="232" t="s">
        <v>7</v>
      </c>
      <c r="S57" s="121">
        <f t="shared" si="10"/>
        <v>0</v>
      </c>
      <c r="T57" s="98">
        <f ca="1" t="shared" si="11"/>
        <v>0</v>
      </c>
      <c r="U57" s="13" t="str">
        <f ca="1" t="shared" si="12"/>
        <v>SEM VALOR</v>
      </c>
      <c r="V57" s="4" t="str">
        <f ca="1">IF(OR($A57=0,$A57="S",$A57&gt;CFF!$A$9),"",MAX(V$12:OFFSET(V57,-1,0))+1)</f>
        <v/>
      </c>
      <c r="W57" s="9" t="str">
        <f t="shared" si="13"/>
        <v>SINAPI-74022/035</v>
      </c>
      <c r="X57" s="4" t="e">
        <f ca="1" t="shared" si="14"/>
        <v>#REF!</v>
      </c>
      <c r="Y57" s="121">
        <v>120.91</v>
      </c>
      <c r="Z57" s="132">
        <f ca="1">ROUND(IF(ISNUMBER(R57),R57,IF(LEFT(R57,3)="BDI",HLOOKUP(R57,DADOS!$T$37:$X$38,2,FALSE),0)),15-11*$X$5)</f>
        <v>0.2009</v>
      </c>
      <c r="AA57" s="4"/>
    </row>
    <row r="58" spans="1:27" ht="12.75" customHeight="1">
      <c r="A58">
        <f t="shared" si="0"/>
        <v>2</v>
      </c>
      <c r="B58">
        <f ca="1" t="shared" si="1"/>
        <v>2</v>
      </c>
      <c r="C58">
        <f ca="1" t="shared" si="2"/>
        <v>1</v>
      </c>
      <c r="D58">
        <f ca="1" t="shared" si="3"/>
        <v>8</v>
      </c>
      <c r="E58">
        <f ca="1" t="shared" si="4"/>
        <v>0</v>
      </c>
      <c r="F58">
        <f ca="1" t="shared" si="5"/>
        <v>0</v>
      </c>
      <c r="G58">
        <f ca="1" t="shared" si="6"/>
        <v>0</v>
      </c>
      <c r="H58">
        <f ca="1" t="shared" si="7"/>
        <v>2</v>
      </c>
      <c r="I58" t="e">
        <f ca="1" t="shared" si="8"/>
        <v>#N/A</v>
      </c>
      <c r="J58" s="394" t="s">
        <v>100</v>
      </c>
      <c r="K58" s="162" t="str">
        <f ca="1" t="shared" si="9"/>
        <v>1.8.</v>
      </c>
      <c r="L58" s="395"/>
      <c r="M58" s="395"/>
      <c r="N58" s="396" t="s">
        <v>313</v>
      </c>
      <c r="O58" s="397"/>
      <c r="P58" s="225">
        <f ca="1">OFFSET(PLQ!$E$12,ROW($P58)-ROW(P$12),0)</f>
        <v>0</v>
      </c>
      <c r="Q58" s="229"/>
      <c r="R58" s="232" t="s">
        <v>7</v>
      </c>
      <c r="S58" s="121">
        <f t="shared" si="10"/>
        <v>0</v>
      </c>
      <c r="T58" s="98">
        <f ca="1" t="shared" si="11"/>
        <v>0</v>
      </c>
      <c r="U58" s="13" t="str">
        <f ca="1" t="shared" si="12"/>
        <v>SEM VALOR</v>
      </c>
      <c r="V58" s="4">
        <f ca="1">IF(OR($A58=0,$A58="S",$A58&gt;CFF!$A$9),"",MAX(V$12:OFFSET(V58,-1,0))+1)</f>
        <v>9</v>
      </c>
      <c r="W58" s="9" t="b">
        <f t="shared" si="13"/>
        <v>0</v>
      </c>
      <c r="X58" s="4" t="str">
        <f ca="1" t="shared" si="14"/>
        <v>X</v>
      </c>
      <c r="Y58" s="121">
        <v>0</v>
      </c>
      <c r="Z58" s="132">
        <f ca="1">ROUND(IF(ISNUMBER(R58),R58,IF(LEFT(R58,3)="BDI",HLOOKUP(R58,DADOS!$T$37:$X$38,2,FALSE),0)),15-11*$X$5)</f>
        <v>0.2009</v>
      </c>
      <c r="AA58" s="4"/>
    </row>
    <row r="59" spans="1:27" ht="12.75" customHeight="1">
      <c r="A59" t="str">
        <f t="shared" si="0"/>
        <v>S</v>
      </c>
      <c r="B59">
        <f t="shared" si="1"/>
        <v>0</v>
      </c>
      <c r="C59">
        <f ca="1" t="shared" si="2"/>
        <v>1</v>
      </c>
      <c r="D59">
        <f ca="1" t="shared" si="3"/>
        <v>8</v>
      </c>
      <c r="E59">
        <f ca="1" t="shared" si="4"/>
        <v>0</v>
      </c>
      <c r="F59">
        <f ca="1" t="shared" si="5"/>
        <v>0</v>
      </c>
      <c r="G59">
        <f ca="1" t="shared" si="6"/>
        <v>1</v>
      </c>
      <c r="H59">
        <f ca="1" t="shared" si="7"/>
        <v>0</v>
      </c>
      <c r="I59">
        <f ca="1" t="shared" si="8"/>
        <v>0</v>
      </c>
      <c r="J59" s="394" t="s">
        <v>103</v>
      </c>
      <c r="K59" s="162" t="str">
        <f ca="1" t="shared" si="9"/>
        <v>1.8.1.</v>
      </c>
      <c r="L59" s="395" t="s">
        <v>232</v>
      </c>
      <c r="M59" s="395" t="s">
        <v>247</v>
      </c>
      <c r="N59" s="396" t="s">
        <v>314</v>
      </c>
      <c r="O59" s="397" t="s">
        <v>243</v>
      </c>
      <c r="P59" s="225">
        <f ca="1">OFFSET(PLQ!$E$12,ROW($P59)-ROW(P$12),0)</f>
        <v>249.5</v>
      </c>
      <c r="Q59" s="229"/>
      <c r="R59" s="232" t="s">
        <v>7</v>
      </c>
      <c r="S59" s="121">
        <f t="shared" si="10"/>
        <v>0</v>
      </c>
      <c r="T59" s="98">
        <f ca="1" t="shared" si="11"/>
        <v>0</v>
      </c>
      <c r="U59" s="13" t="str">
        <f ca="1" t="shared" si="12"/>
        <v>SEM VALOR</v>
      </c>
      <c r="V59" s="4" t="str">
        <f ca="1">IF(OR($A59=0,$A59="S",$A59&gt;CFF!$A$9),"",MAX(V$12:OFFSET(V59,-1,0))+1)</f>
        <v/>
      </c>
      <c r="W59" s="9" t="str">
        <f t="shared" si="13"/>
        <v>SINAPI-94273</v>
      </c>
      <c r="X59" s="4" t="e">
        <f ca="1" t="shared" si="14"/>
        <v>#REF!</v>
      </c>
      <c r="Y59" s="121">
        <v>37.6</v>
      </c>
      <c r="Z59" s="132">
        <f ca="1">ROUND(IF(ISNUMBER(R59),R59,IF(LEFT(R59,3)="BDI",HLOOKUP(R59,DADOS!$T$37:$X$38,2,FALSE),0)),15-11*$X$5)</f>
        <v>0.2009</v>
      </c>
      <c r="AA59" s="4"/>
    </row>
    <row r="60" spans="1:27" ht="12.75">
      <c r="A60">
        <v>-1</v>
      </c>
      <c r="C60">
        <v>0</v>
      </c>
      <c r="D60">
        <v>0</v>
      </c>
      <c r="E60">
        <v>0</v>
      </c>
      <c r="F60">
        <v>0</v>
      </c>
      <c r="G60">
        <v>0</v>
      </c>
      <c r="J60" s="83"/>
      <c r="K60" s="83"/>
      <c r="L60" s="83"/>
      <c r="M60" s="83"/>
      <c r="N60" s="83"/>
      <c r="O60" s="83"/>
      <c r="P60" s="83"/>
      <c r="Q60" s="83"/>
      <c r="R60" s="83"/>
      <c r="S60" s="83"/>
      <c r="T60" s="83"/>
      <c r="U60" s="4"/>
      <c r="V60" s="4"/>
      <c r="W60" s="4"/>
      <c r="X60" s="4"/>
      <c r="Y60" s="4"/>
      <c r="Z60" s="4"/>
      <c r="AA60" s="4"/>
    </row>
    <row r="61" spans="1:27" ht="13.8">
      <c r="A61" s="4"/>
      <c r="B61" s="4"/>
      <c r="C61" s="4"/>
      <c r="D61" s="4"/>
      <c r="E61" s="4"/>
      <c r="F61" s="4"/>
      <c r="G61" s="4"/>
      <c r="H61" s="4"/>
      <c r="I61" s="4"/>
      <c r="J61" s="4"/>
      <c r="K61" s="84" t="s">
        <v>62</v>
      </c>
      <c r="L61" s="4"/>
      <c r="M61" s="366" t="s">
        <v>141</v>
      </c>
      <c r="N61" s="367"/>
      <c r="O61" s="367"/>
      <c r="P61" s="367"/>
      <c r="Q61" s="367"/>
      <c r="R61" s="367"/>
      <c r="S61" s="367"/>
      <c r="T61" s="368"/>
      <c r="U61" s="4"/>
      <c r="V61" s="4"/>
      <c r="W61" s="4"/>
      <c r="X61" s="4"/>
      <c r="Y61" s="4"/>
      <c r="Z61" s="4"/>
      <c r="AA61" s="4"/>
    </row>
    <row r="62" spans="1:27" ht="12.75">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3.8">
      <c r="A63" s="4"/>
      <c r="B63" s="4"/>
      <c r="C63" s="4"/>
      <c r="D63" s="4"/>
      <c r="E63" s="4"/>
      <c r="F63" s="4"/>
      <c r="G63" s="4"/>
      <c r="H63" s="4"/>
      <c r="I63" s="4"/>
      <c r="J63" s="4"/>
      <c r="K63" s="90" t="s">
        <v>21</v>
      </c>
      <c r="L63" s="20"/>
      <c r="M63" s="20"/>
      <c r="N63" s="20"/>
      <c r="O63" s="20"/>
      <c r="P63" s="20"/>
      <c r="Q63" s="20"/>
      <c r="R63" s="20"/>
      <c r="S63" s="20"/>
      <c r="T63" s="89"/>
      <c r="U63" s="4"/>
      <c r="V63" s="4"/>
      <c r="W63" s="4"/>
      <c r="X63" s="4"/>
      <c r="Y63" s="4"/>
      <c r="Z63" s="4"/>
      <c r="AA63" s="4"/>
    </row>
    <row r="64" spans="1:27" ht="12.75" customHeight="1">
      <c r="A64" s="4"/>
      <c r="B64" s="4"/>
      <c r="C64" s="4"/>
      <c r="D64" s="4"/>
      <c r="E64" s="4"/>
      <c r="F64" s="4"/>
      <c r="G64" s="4"/>
      <c r="H64" s="4"/>
      <c r="I64" s="4"/>
      <c r="J64" s="4"/>
      <c r="K64" s="360"/>
      <c r="L64" s="361"/>
      <c r="M64" s="361"/>
      <c r="N64" s="361"/>
      <c r="O64" s="361"/>
      <c r="P64" s="361"/>
      <c r="Q64" s="361"/>
      <c r="R64" s="361"/>
      <c r="S64" s="361"/>
      <c r="T64" s="362"/>
      <c r="U64" s="4"/>
      <c r="V64" s="4"/>
      <c r="W64" s="4"/>
      <c r="X64" s="4"/>
      <c r="Y64" s="4"/>
      <c r="Z64" s="4"/>
      <c r="AA64" s="4"/>
    </row>
    <row r="65" spans="1:27" ht="12.75">
      <c r="A65" s="4"/>
      <c r="B65" s="4"/>
      <c r="C65" s="4"/>
      <c r="D65" s="4"/>
      <c r="E65" s="4"/>
      <c r="F65" s="4"/>
      <c r="G65" s="4"/>
      <c r="H65" s="4"/>
      <c r="I65" s="4"/>
      <c r="J65" s="4"/>
      <c r="K65" s="360"/>
      <c r="L65" s="361"/>
      <c r="M65" s="361"/>
      <c r="N65" s="361"/>
      <c r="O65" s="361"/>
      <c r="P65" s="361"/>
      <c r="Q65" s="361"/>
      <c r="R65" s="361"/>
      <c r="S65" s="361"/>
      <c r="T65" s="362"/>
      <c r="U65" s="4"/>
      <c r="V65" s="4"/>
      <c r="W65" s="4"/>
      <c r="X65" s="4"/>
      <c r="Y65" s="4"/>
      <c r="Z65" s="4"/>
      <c r="AA65" s="4"/>
    </row>
    <row r="66" spans="1:27" ht="12.75">
      <c r="A66" s="4"/>
      <c r="B66" s="4"/>
      <c r="C66" s="4"/>
      <c r="D66" s="4"/>
      <c r="E66" s="4"/>
      <c r="F66" s="4"/>
      <c r="G66" s="4"/>
      <c r="H66" s="4"/>
      <c r="I66" s="4"/>
      <c r="J66" s="4"/>
      <c r="K66" s="363"/>
      <c r="L66" s="364"/>
      <c r="M66" s="364"/>
      <c r="N66" s="364"/>
      <c r="O66" s="364"/>
      <c r="P66" s="364"/>
      <c r="Q66" s="364"/>
      <c r="R66" s="364"/>
      <c r="S66" s="364"/>
      <c r="T66" s="365"/>
      <c r="U66" s="4"/>
      <c r="V66" s="4"/>
      <c r="W66" s="4"/>
      <c r="X66" s="4"/>
      <c r="Y66" s="4"/>
      <c r="Z66" s="4"/>
      <c r="AA66" s="4"/>
    </row>
    <row r="67" spans="1:27" ht="13.8">
      <c r="A67" s="4"/>
      <c r="B67" s="4"/>
      <c r="C67" s="4"/>
      <c r="D67" s="4"/>
      <c r="E67" s="4"/>
      <c r="F67" s="4"/>
      <c r="G67" s="4"/>
      <c r="H67" s="4"/>
      <c r="I67" s="4"/>
      <c r="J67" s="4"/>
      <c r="K67" s="213"/>
      <c r="L67" s="213"/>
      <c r="M67" s="213"/>
      <c r="N67" s="213"/>
      <c r="O67" s="213"/>
      <c r="P67" s="213"/>
      <c r="Q67" s="213"/>
      <c r="R67" s="213"/>
      <c r="S67" s="213"/>
      <c r="T67" s="213"/>
      <c r="U67" s="4"/>
      <c r="V67" s="4"/>
      <c r="W67" s="4"/>
      <c r="X67" s="4"/>
      <c r="Y67" s="4"/>
      <c r="Z67" s="4"/>
      <c r="AA67" s="4"/>
    </row>
    <row r="68" spans="1:27" ht="13.8">
      <c r="A68" s="4"/>
      <c r="B68" s="4"/>
      <c r="C68" s="4"/>
      <c r="D68" s="4"/>
      <c r="E68" s="4"/>
      <c r="F68" s="4"/>
      <c r="G68" s="4"/>
      <c r="H68" s="4"/>
      <c r="I68" s="4"/>
      <c r="J68" s="4"/>
      <c r="K68" s="357"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68" s="358"/>
      <c r="M68" s="358"/>
      <c r="N68" s="358"/>
      <c r="O68" s="358"/>
      <c r="P68" s="358"/>
      <c r="Q68" s="358"/>
      <c r="R68" s="358"/>
      <c r="S68" s="358"/>
      <c r="T68" s="359"/>
      <c r="U68" s="4"/>
      <c r="V68" s="4"/>
      <c r="W68" s="4"/>
      <c r="X68" s="4"/>
      <c r="Y68" s="4"/>
      <c r="Z68" s="4"/>
      <c r="AA68" s="4"/>
    </row>
    <row r="69" spans="1:27" ht="12.75">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21"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75">
      <c r="A71" s="4"/>
      <c r="B71" s="4"/>
      <c r="C71" s="4"/>
      <c r="D71" s="4"/>
      <c r="E71" s="4"/>
      <c r="F71" s="4"/>
      <c r="G71" s="4"/>
      <c r="H71" s="4"/>
      <c r="I71" s="4"/>
      <c r="J71" s="4"/>
      <c r="K71" s="370" t="str">
        <f>Import.Município</f>
        <v>Riqueza / SC</v>
      </c>
      <c r="L71" s="370"/>
      <c r="M71" s="370"/>
      <c r="N71" s="4"/>
      <c r="O71" s="4"/>
      <c r="P71" s="4"/>
      <c r="Q71" s="4"/>
      <c r="R71" s="4"/>
      <c r="S71" s="4"/>
      <c r="T71" s="4"/>
      <c r="U71" s="4"/>
      <c r="V71" s="4"/>
      <c r="W71" s="4"/>
      <c r="X71" s="4"/>
      <c r="Y71" s="4"/>
      <c r="Z71" s="4"/>
      <c r="AA71" s="4"/>
    </row>
    <row r="72" spans="1:27" ht="12.75">
      <c r="A72" s="4"/>
      <c r="B72" s="4"/>
      <c r="C72" s="4"/>
      <c r="D72" s="4"/>
      <c r="E72" s="4"/>
      <c r="F72" s="4"/>
      <c r="G72" s="4"/>
      <c r="H72" s="4"/>
      <c r="I72" s="4"/>
      <c r="J72" s="4"/>
      <c r="K72" s="112" t="s">
        <v>120</v>
      </c>
      <c r="L72" s="4"/>
      <c r="M72" s="4"/>
      <c r="N72" s="4"/>
      <c r="O72" s="4"/>
      <c r="P72" s="4"/>
      <c r="Q72" s="4"/>
      <c r="R72" s="4"/>
      <c r="S72" s="4"/>
      <c r="T72" s="4"/>
      <c r="U72" s="4"/>
      <c r="V72" s="4"/>
      <c r="W72" s="4"/>
      <c r="X72" s="4"/>
      <c r="Y72" s="4"/>
      <c r="Z72" s="4"/>
      <c r="AA72" s="4"/>
    </row>
    <row r="73" spans="1:27" ht="12.75">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75">
      <c r="A74" s="4"/>
      <c r="B74" s="4"/>
      <c r="C74" s="4"/>
      <c r="D74" s="4"/>
      <c r="E74" s="4"/>
      <c r="F74" s="4"/>
      <c r="G74" s="4"/>
      <c r="H74" s="4"/>
      <c r="I74" s="4"/>
      <c r="J74" s="4"/>
      <c r="K74" s="369">
        <f ca="1">TODAY()</f>
        <v>43061</v>
      </c>
      <c r="L74" s="369"/>
      <c r="M74" s="369"/>
      <c r="N74" s="4"/>
      <c r="O74" s="4"/>
      <c r="P74" s="4"/>
      <c r="Q74" s="4"/>
      <c r="R74" s="4"/>
      <c r="S74" s="4"/>
      <c r="T74" s="4"/>
      <c r="U74" s="4"/>
      <c r="V74" s="4"/>
      <c r="W74" s="4"/>
      <c r="X74" s="4"/>
      <c r="Y74" s="4"/>
      <c r="Z74" s="4"/>
      <c r="AA74" s="4"/>
    </row>
    <row r="75" spans="1:27" ht="12.75">
      <c r="A75" s="4"/>
      <c r="B75" s="4"/>
      <c r="C75" s="4"/>
      <c r="D75" s="4"/>
      <c r="E75" s="4"/>
      <c r="F75" s="4"/>
      <c r="G75" s="4"/>
      <c r="H75" s="4"/>
      <c r="I75" s="4"/>
      <c r="J75" s="4"/>
      <c r="K75" s="141" t="s">
        <v>121</v>
      </c>
      <c r="L75" s="83"/>
      <c r="M75" s="83"/>
      <c r="N75" s="4"/>
      <c r="O75" s="4"/>
      <c r="P75" s="4"/>
      <c r="Q75" s="4"/>
      <c r="R75" s="4"/>
      <c r="S75" s="4"/>
      <c r="T75" s="4"/>
      <c r="U75" s="4"/>
      <c r="V75" s="4"/>
      <c r="W75" s="4"/>
      <c r="X75" s="4"/>
      <c r="Y75" s="4"/>
      <c r="Z75" s="4"/>
      <c r="AA75" s="4"/>
    </row>
  </sheetData>
  <sheetProtection algorithmName="SHA-512" hashValue="SzFNEUS31SIFMFzYW7hOP3rd2La9VZKWWhCtGKOhw008LDKsFnKsrydmvE9nbcpJDsHZrr1FOGFXe/+6zDKAOA==" saltValue="E2iCU8xeRVnIR8FD2p5cFQ==" spinCount="100000" sheet="1" objects="1" scenarios="1"/>
  <mergeCells count="6">
    <mergeCell ref="W2:X2"/>
    <mergeCell ref="K68:T68"/>
    <mergeCell ref="K64:T66"/>
    <mergeCell ref="M61:T61"/>
    <mergeCell ref="K74:M74"/>
    <mergeCell ref="K71:M71"/>
  </mergeCells>
  <conditionalFormatting sqref="O12:R12 L12:M12">
    <cfRule type="expression" priority="1745" dxfId="38" stopIfTrue="1">
      <formula>$J12=$C$2</formula>
    </cfRule>
    <cfRule type="expression" priority="1746" dxfId="66" stopIfTrue="1">
      <formula>UPPER(LEFT($J12,5))="NÍVEL"</formula>
    </cfRule>
    <cfRule type="expression" priority="1747" dxfId="68" stopIfTrue="1">
      <formula>$J12=$C$8</formula>
    </cfRule>
  </conditionalFormatting>
  <conditionalFormatting sqref="Y12:Z12 S12:T12 K12">
    <cfRule type="expression" priority="1748" dxfId="38" stopIfTrue="1">
      <formula>$J12=$C$2</formula>
    </cfRule>
    <cfRule type="expression" priority="1749" dxfId="66" stopIfTrue="1">
      <formula>UPPER(LEFT($J12,5))="NÍVEL"</formula>
    </cfRule>
  </conditionalFormatting>
  <conditionalFormatting sqref="K11 K13:K59">
    <cfRule type="expression" priority="1761" dxfId="0" stopIfTrue="1">
      <formula>$J11=$C$2</formula>
    </cfRule>
    <cfRule type="expression" priority="1762" dxfId="37" stopIfTrue="1">
      <formula>AND($J11&lt;&gt;"",$J11&lt;&gt;"Serviço")</formula>
    </cfRule>
    <cfRule type="expression" priority="1763" dxfId="27" stopIfTrue="1">
      <formula>$J11=""</formula>
    </cfRule>
  </conditionalFormatting>
  <conditionalFormatting sqref="P11 P13:P59">
    <cfRule type="expression" priority="88" dxfId="62" stopIfTrue="1">
      <formula>$J11=$C$2</formula>
    </cfRule>
    <cfRule type="expression" priority="1767" dxfId="61" stopIfTrue="1">
      <formula>AND($J11&lt;&gt;"Serviço")</formula>
    </cfRule>
    <cfRule type="expression" priority="1768" dxfId="60" stopIfTrue="1">
      <formula>CELL("proteger",P11)</formula>
    </cfRule>
  </conditionalFormatting>
  <conditionalFormatting sqref="Q11:R11 Q13:R59">
    <cfRule type="expression" priority="1769" dxfId="48" stopIfTrue="1">
      <formula>$J11=$C$2</formula>
    </cfRule>
    <cfRule type="expression" priority="1770" dxfId="47" stopIfTrue="1">
      <formula>$J11&lt;&gt;"Serviço"</formula>
    </cfRule>
    <cfRule type="expression" priority="1771" dxfId="26" stopIfTrue="1">
      <formula>CELL("proteger",Q11)</formula>
    </cfRule>
  </conditionalFormatting>
  <conditionalFormatting sqref="S11:T11 Y11:Z11 S13:T59 Y13:Z59">
    <cfRule type="expression" priority="1772" dxfId="0" stopIfTrue="1">
      <formula>$J11=$C$2</formula>
    </cfRule>
    <cfRule type="expression" priority="1773" dxfId="37" stopIfTrue="1">
      <formula>$J11&lt;&gt;"Serviço"</formula>
    </cfRule>
  </conditionalFormatting>
  <conditionalFormatting sqref="L11:M11 L13:M59">
    <cfRule type="expression" priority="1793" dxfId="48" stopIfTrue="1">
      <formula>$J11=$C$2</formula>
    </cfRule>
    <cfRule type="expression" priority="1794" dxfId="47" stopIfTrue="1">
      <formula>$J11&lt;&gt;"Serviço"</formula>
    </cfRule>
    <cfRule type="expression" priority="1795" dxfId="26" stopIfTrue="1">
      <formula>OR(CELL("proteger",L11),$J11="",TipoOrçamento="Licitado")</formula>
    </cfRule>
  </conditionalFormatting>
  <conditionalFormatting sqref="K61:T61">
    <cfRule type="expression" priority="1774" dxfId="11" stopIfTrue="1">
      <formula>OR(Tipo.Orçamento="LICITADO",Tipo.Orçamento="REPROGRAMADOAC")</formula>
    </cfRule>
    <cfRule type="expression" priority="1775" dxfId="50" stopIfTrue="1">
      <formula>$M$61=""</formula>
    </cfRule>
  </conditionalFormatting>
  <conditionalFormatting sqref="J11 J13:J59">
    <cfRule type="expression" priority="1802" dxfId="26" stopIfTrue="1">
      <formula>TipoOrçamento="Licitado"</formula>
    </cfRule>
  </conditionalFormatting>
  <conditionalFormatting sqref="O11 O13:O59">
    <cfRule type="expression" priority="108" dxfId="48" stopIfTrue="1">
      <formula>$J11=$C$2</formula>
    </cfRule>
    <cfRule type="expression" priority="109" dxfId="47" stopIfTrue="1">
      <formula>AND($J11&lt;&gt;"Serviço")</formula>
    </cfRule>
    <cfRule type="expression" priority="110" dxfId="26" stopIfTrue="1">
      <formula>CELL("proteger",O11)</formula>
    </cfRule>
  </conditionalFormatting>
  <conditionalFormatting sqref="N11 N13:N59">
    <cfRule type="expression" priority="111" dxfId="45" stopIfTrue="1">
      <formula>$J11=$C$2</formula>
    </cfRule>
    <cfRule type="expression" priority="112" dxfId="37" stopIfTrue="1">
      <formula>$J11&lt;&gt;"Serviço"</formula>
    </cfRule>
    <cfRule type="expression" priority="113" dxfId="26" stopIfTrue="1">
      <formula>CELL("proteger",N11)</formula>
    </cfRule>
  </conditionalFormatting>
  <dataValidations count="3">
    <dataValidation type="decimal" operator="greaterThan" allowBlank="1" showInputMessage="1" showErrorMessage="1" error="Apenas números decimais maiores que zero." sqref="Q11 Q13:Q59">
      <formula1>0</formula1>
    </dataValidation>
    <dataValidation errorStyle="warning" type="list" allowBlank="1" showInputMessage="1" showErrorMessage="1" error="Selecione um dos 5 BDI da lista._x000a__x000a_Caso tenha mais de 5 BDI nesta Planilha Orçamentária digite apenas valor percentual." sqref="R11 R13:R59">
      <formula1>Dados.Lista.BDI</formula1>
    </dataValidation>
    <dataValidation type="list" showInputMessage="1" showErrorMessage="1" promptTitle="Nível:" prompt="Selecione na lista o nível de itemização da Planilha." errorTitle="Erro de Entrada" error="Selecione somente os itens da lista." sqref="J11 J14:J59">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v007   micro&amp;R&amp;P</oddFooter>
  </headerFooter>
  <ignoredErrors>
    <ignoredError sqref="K71 K74" unlockedFormula="1"/>
  </ignoredError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FFFF00"/>
  </sheetPr>
  <dimension ref="A1:U66"/>
  <sheetViews>
    <sheetView showGridLines="0" zoomScale="85" zoomScaleNormal="85" zoomScaleSheetLayoutView="100" workbookViewId="0" topLeftCell="A1">
      <pane xSplit="5" ySplit="10" topLeftCell="F11" activePane="bottomRight" state="frozen"/>
      <selection pane="topRight" activeCell="A1" sqref="A1"/>
      <selection pane="bottomLeft" activeCell="A1" sqref="A1"/>
      <selection pane="bottomRight" activeCell="G15" sqref="G15"/>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9" customHeight="1">
      <c r="P4" s="20"/>
    </row>
    <row r="5" s="4" customFormat="1" ht="39.9" customHeight="1">
      <c r="P5" s="20"/>
    </row>
    <row r="6" s="4" customFormat="1" ht="20.25" customHeight="1">
      <c r="P6" s="20"/>
    </row>
    <row r="7" spans="5:16" s="4" customFormat="1" ht="12.75" customHeight="1" hidden="1">
      <c r="E7" s="224">
        <f ca="1">OFFSET(PO!$P$12,ROW($E7)-ROW(E$12),0)</f>
        <v>0</v>
      </c>
      <c r="P7" s="20"/>
    </row>
    <row r="8" s="4" customFormat="1" ht="9.9" customHeight="1">
      <c r="P8" s="20"/>
    </row>
    <row r="9" spans="2:21" s="4" customFormat="1" ht="60" customHeight="1">
      <c r="B9" s="17"/>
      <c r="C9" s="14"/>
      <c r="D9" s="9"/>
      <c r="E9" s="146" t="s">
        <v>46</v>
      </c>
      <c r="F9" s="399" t="s">
        <v>315</v>
      </c>
      <c r="G9" s="399" t="s">
        <v>316</v>
      </c>
      <c r="H9" s="399" t="s">
        <v>317</v>
      </c>
      <c r="I9" s="399" t="s">
        <v>318</v>
      </c>
      <c r="J9" s="399"/>
      <c r="K9" s="399"/>
      <c r="L9" s="399"/>
      <c r="M9" s="399"/>
      <c r="N9" s="399"/>
      <c r="O9" s="399"/>
      <c r="U9" s="122"/>
    </row>
    <row r="10" spans="1:21" s="15" customFormat="1" ht="30" customHeight="1">
      <c r="A10" s="123" t="s">
        <v>3</v>
      </c>
      <c r="B10" s="123" t="s">
        <v>147</v>
      </c>
      <c r="C10" s="123" t="s">
        <v>142</v>
      </c>
      <c r="D10" s="124" t="s">
        <v>158</v>
      </c>
      <c r="E10" s="123" t="s">
        <v>148</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26.4">
      <c r="A13" s="126" t="str">
        <f ca="1">OFFSET(PO!J$12,ROW(A13)-ROW($A$12),0)</f>
        <v>Meta</v>
      </c>
      <c r="B13" s="130" t="str">
        <f ca="1">IF($A13=0,"",OFFSET(PO!K$12,ROW(B13)-ROW(B$12),0))</f>
        <v>1.</v>
      </c>
      <c r="C13" s="127" t="str">
        <f ca="1">IF(OFFSET(PO!N$12,ROW(C13)-ROW(C$12),0)=0,"",OFFSET(PO!N$12,ROW(C13)-ROW(C$12),0))</f>
        <v>PAVIMENTAÇÃO ASFÁLTICA; DRENAGEM PLUVIAL; SINALIZAÇÃO NA RUA DOS IMIGRANTES E SANTOS DUMONT</v>
      </c>
      <c r="D13" s="129" t="str">
        <f ca="1">IF(OFFSET(PO!O$12,ROW(D13)-ROW(D$12),0)=0,"",OFFSET(PO!O$12,ROW(D13)-ROW(D$12),0))</f>
        <v/>
      </c>
      <c r="E13" s="165">
        <f ca="1">IF($A13&lt;&gt;"Serviço",0,ROUND(SUMIF($F$9:$P$9,"&lt;&gt;",$F13:$P13),15-13*PO!$X$3))</f>
        <v>0</v>
      </c>
      <c r="F13" s="398"/>
      <c r="G13" s="398"/>
      <c r="H13" s="398"/>
      <c r="I13" s="398"/>
      <c r="J13" s="398"/>
      <c r="K13" s="398"/>
      <c r="L13" s="398"/>
      <c r="M13" s="398"/>
      <c r="N13" s="398"/>
      <c r="O13" s="398"/>
      <c r="U13" s="215"/>
    </row>
    <row r="14" spans="1:21" s="4" customFormat="1" ht="12.75">
      <c r="A14" s="128" t="str">
        <f ca="1">OFFSET(PO!J$12,ROW(A14)-ROW($A$12),0)</f>
        <v>Nível 2</v>
      </c>
      <c r="B14" s="130" t="str">
        <f ca="1">IF($A14=0,"",OFFSET(PO!K$12,ROW(B14)-ROW(B$12),0))</f>
        <v>1.1.</v>
      </c>
      <c r="C14" s="127" t="str">
        <f ca="1">IF(OFFSET(PO!N$12,ROW(C14)-ROW(C$12),0)=0,"",OFFSET(PO!N$12,ROW(C14)-ROW(C$12),0))</f>
        <v>SERVIÇOS PRELIMINARES</v>
      </c>
      <c r="D14" s="129" t="str">
        <f ca="1">IF(OFFSET(PO!O$12,ROW(D14)-ROW(D$12),0)=0,"",OFFSET(PO!O$12,ROW(D14)-ROW(D$12),0))</f>
        <v/>
      </c>
      <c r="E14" s="165">
        <f ca="1">IF($A14&lt;&gt;"Serviço",0,ROUND(SUMIF($F$9:$P$9,"&lt;&gt;",$F14:$P14),15-13*PO!$X$3))</f>
        <v>0</v>
      </c>
      <c r="F14" s="398"/>
      <c r="G14" s="398"/>
      <c r="H14" s="398"/>
      <c r="I14" s="398"/>
      <c r="J14" s="398"/>
      <c r="K14" s="398"/>
      <c r="L14" s="398"/>
      <c r="M14" s="398"/>
      <c r="N14" s="398"/>
      <c r="O14" s="398"/>
      <c r="U14" s="215"/>
    </row>
    <row r="15" spans="1:21" s="4" customFormat="1" ht="12.75">
      <c r="A15" s="128" t="str">
        <f ca="1">OFFSET(PO!J$12,ROW(A15)-ROW($A$12),0)</f>
        <v>Serviço</v>
      </c>
      <c r="B15" s="130" t="str">
        <f ca="1">IF($A15=0,"",OFFSET(PO!K$12,ROW(B15)-ROW(B$12),0))</f>
        <v>1.1.1.</v>
      </c>
      <c r="C15" s="127" t="str">
        <f ca="1">IF(OFFSET(PO!N$12,ROW(C15)-ROW(C$12),0)=0,"",OFFSET(PO!N$12,ROW(C15)-ROW(C$12),0))</f>
        <v>Placa de Obra em Chapa de Aço Galvanizado - 2,00 x 1,25 m</v>
      </c>
      <c r="D15" s="129" t="str">
        <f ca="1">IF(OFFSET(PO!O$12,ROW(D15)-ROW(D$12),0)=0,"",OFFSET(PO!O$12,ROW(D15)-ROW(D$12),0))</f>
        <v>m²</v>
      </c>
      <c r="E15" s="165">
        <f ca="1">IF($A15&lt;&gt;"Serviço",0,ROUND(SUMIF($F$9:$P$9,"&lt;&gt;",$F15:$P15),15-13*PO!$X$3))</f>
        <v>2.5</v>
      </c>
      <c r="F15" s="398">
        <v>2.5</v>
      </c>
      <c r="G15" s="398"/>
      <c r="H15" s="398"/>
      <c r="I15" s="398"/>
      <c r="J15" s="398"/>
      <c r="K15" s="398"/>
      <c r="L15" s="398"/>
      <c r="M15" s="398"/>
      <c r="N15" s="398"/>
      <c r="O15" s="398"/>
      <c r="U15" s="215"/>
    </row>
    <row r="16" spans="1:21" s="4" customFormat="1" ht="12.75">
      <c r="A16" s="128" t="str">
        <f ca="1">OFFSET(PO!J$12,ROW(A16)-ROW($A$12),0)</f>
        <v>Nível 2</v>
      </c>
      <c r="B16" s="130" t="str">
        <f ca="1">IF($A16=0,"",OFFSET(PO!K$12,ROW(B16)-ROW(B$12),0))</f>
        <v>1.2.</v>
      </c>
      <c r="C16" s="127" t="str">
        <f ca="1">IF(OFFSET(PO!N$12,ROW(C16)-ROW(C$12),0)=0,"",OFFSET(PO!N$12,ROW(C16)-ROW(C$12),0))</f>
        <v>ADMINISTRAÇÃO LOCAL</v>
      </c>
      <c r="D16" s="129" t="str">
        <f ca="1">IF(OFFSET(PO!O$12,ROW(D16)-ROW(D$12),0)=0,"",OFFSET(PO!O$12,ROW(D16)-ROW(D$12),0))</f>
        <v/>
      </c>
      <c r="E16" s="165">
        <f ca="1">IF($A16&lt;&gt;"Serviço",0,ROUND(SUMIF($F$9:$P$9,"&lt;&gt;",$F16:$P16),15-13*PO!$X$3))</f>
        <v>0</v>
      </c>
      <c r="F16" s="398"/>
      <c r="G16" s="398"/>
      <c r="H16" s="398"/>
      <c r="I16" s="398"/>
      <c r="J16" s="398"/>
      <c r="K16" s="398"/>
      <c r="L16" s="398"/>
      <c r="M16" s="398"/>
      <c r="N16" s="398"/>
      <c r="O16" s="398"/>
      <c r="U16" s="215"/>
    </row>
    <row r="17" spans="1:21" s="4" customFormat="1" ht="12.75">
      <c r="A17" s="128" t="str">
        <f ca="1">OFFSET(PO!J$12,ROW(A17)-ROW($A$12),0)</f>
        <v>Serviço</v>
      </c>
      <c r="B17" s="130" t="str">
        <f ca="1">IF($A17=0,"",OFFSET(PO!K$12,ROW(B17)-ROW(B$12),0))</f>
        <v>1.2.1.</v>
      </c>
      <c r="C17" s="127" t="str">
        <f ca="1">IF(OFFSET(PO!N$12,ROW(C17)-ROW(C$12),0)=0,"",OFFSET(PO!N$12,ROW(C17)-ROW(C$12),0))</f>
        <v>Administração local da obra</v>
      </c>
      <c r="D17" s="129" t="str">
        <f ca="1">IF(OFFSET(PO!O$12,ROW(D17)-ROW(D$12),0)=0,"",OFFSET(PO!O$12,ROW(D17)-ROW(D$12),0))</f>
        <v>und</v>
      </c>
      <c r="E17" s="165">
        <f ca="1">IF($A17&lt;&gt;"Serviço",0,ROUND(SUMIF($F$9:$P$9,"&lt;&gt;",$F17:$P17),15-13*PO!$X$3))</f>
        <v>1</v>
      </c>
      <c r="F17" s="398">
        <v>0.25</v>
      </c>
      <c r="G17" s="398">
        <v>0.25</v>
      </c>
      <c r="H17" s="398">
        <v>0.25</v>
      </c>
      <c r="I17" s="398">
        <v>0.25</v>
      </c>
      <c r="J17" s="398"/>
      <c r="K17" s="398"/>
      <c r="L17" s="398"/>
      <c r="M17" s="398"/>
      <c r="N17" s="398"/>
      <c r="O17" s="398"/>
      <c r="U17" s="215"/>
    </row>
    <row r="18" spans="1:21" s="4" customFormat="1" ht="12.75">
      <c r="A18" s="128" t="str">
        <f ca="1">OFFSET(PO!J$12,ROW(A18)-ROW($A$12),0)</f>
        <v>Nível 2</v>
      </c>
      <c r="B18" s="130" t="str">
        <f ca="1">IF($A18=0,"",OFFSET(PO!K$12,ROW(B18)-ROW(B$12),0))</f>
        <v>1.3.</v>
      </c>
      <c r="C18" s="127" t="str">
        <f ca="1">IF(OFFSET(PO!N$12,ROW(C18)-ROW(C$12),0)=0,"",OFFSET(PO!N$12,ROW(C18)-ROW(C$12),0))</f>
        <v>SINALIZAÇÃO PROVISÓRIA DA OBRA</v>
      </c>
      <c r="D18" s="129" t="str">
        <f ca="1">IF(OFFSET(PO!O$12,ROW(D18)-ROW(D$12),0)=0,"",OFFSET(PO!O$12,ROW(D18)-ROW(D$12),0))</f>
        <v/>
      </c>
      <c r="E18" s="165">
        <f ca="1">IF($A18&lt;&gt;"Serviço",0,ROUND(SUMIF($F$9:$P$9,"&lt;&gt;",$F18:$P18),15-13*PO!$X$3))</f>
        <v>0</v>
      </c>
      <c r="F18" s="398"/>
      <c r="G18" s="398"/>
      <c r="H18" s="398"/>
      <c r="I18" s="398"/>
      <c r="J18" s="398"/>
      <c r="K18" s="398"/>
      <c r="L18" s="398"/>
      <c r="M18" s="398"/>
      <c r="N18" s="398"/>
      <c r="O18" s="398"/>
      <c r="U18" s="215"/>
    </row>
    <row r="19" spans="1:21" s="4" customFormat="1" ht="12.75">
      <c r="A19" s="128" t="str">
        <f ca="1">OFFSET(PO!J$12,ROW(A19)-ROW($A$12),0)</f>
        <v>Serviço</v>
      </c>
      <c r="B19" s="130" t="str">
        <f ca="1">IF($A19=0,"",OFFSET(PO!K$12,ROW(B19)-ROW(B$12),0))</f>
        <v>1.3.1.</v>
      </c>
      <c r="C19" s="127" t="str">
        <f ca="1">IF(OFFSET(PO!N$12,ROW(C19)-ROW(C$12),0)=0,"",OFFSET(PO!N$12,ROW(C19)-ROW(C$12),0))</f>
        <v>Placa de Sinalização em chapa de aço Num 16 com pintura refletiva</v>
      </c>
      <c r="D19" s="129" t="str">
        <f ca="1">IF(OFFSET(PO!O$12,ROW(D19)-ROW(D$12),0)=0,"",OFFSET(PO!O$12,ROW(D19)-ROW(D$12),0))</f>
        <v>m²</v>
      </c>
      <c r="E19" s="165">
        <f ca="1">IF($A19&lt;&gt;"Serviço",0,ROUND(SUMIF($F$9:$P$9,"&lt;&gt;",$F19:$P19),15-13*PO!$X$3))</f>
        <v>1.64</v>
      </c>
      <c r="F19" s="398">
        <v>0.41</v>
      </c>
      <c r="G19" s="398">
        <v>0.41</v>
      </c>
      <c r="H19" s="398">
        <v>0.41</v>
      </c>
      <c r="I19" s="398">
        <v>0.41</v>
      </c>
      <c r="J19" s="398"/>
      <c r="K19" s="398"/>
      <c r="L19" s="398"/>
      <c r="M19" s="398"/>
      <c r="N19" s="398"/>
      <c r="O19" s="398"/>
      <c r="U19" s="215"/>
    </row>
    <row r="20" spans="1:21" s="4" customFormat="1" ht="12.75">
      <c r="A20" s="128" t="str">
        <f ca="1">OFFSET(PO!J$12,ROW(A20)-ROW($A$12),0)</f>
        <v>Nível 2</v>
      </c>
      <c r="B20" s="130" t="str">
        <f ca="1">IF($A20=0,"",OFFSET(PO!K$12,ROW(B20)-ROW(B$12),0))</f>
        <v>1.4.</v>
      </c>
      <c r="C20" s="127" t="str">
        <f ca="1">IF(OFFSET(PO!N$12,ROW(C20)-ROW(C$12),0)=0,"",OFFSET(PO!N$12,ROW(C20)-ROW(C$12),0))</f>
        <v>DRENAGEM PLUVIAL</v>
      </c>
      <c r="D20" s="129" t="str">
        <f ca="1">IF(OFFSET(PO!O$12,ROW(D20)-ROW(D$12),0)=0,"",OFFSET(PO!O$12,ROW(D20)-ROW(D$12),0))</f>
        <v/>
      </c>
      <c r="E20" s="165">
        <f ca="1">IF($A20&lt;&gt;"Serviço",0,ROUND(SUMIF($F$9:$P$9,"&lt;&gt;",$F20:$P20),15-13*PO!$X$3))</f>
        <v>0</v>
      </c>
      <c r="F20" s="398"/>
      <c r="G20" s="398"/>
      <c r="H20" s="398"/>
      <c r="I20" s="398"/>
      <c r="J20" s="398"/>
      <c r="K20" s="398"/>
      <c r="L20" s="398"/>
      <c r="M20" s="398"/>
      <c r="N20" s="398"/>
      <c r="O20" s="398"/>
      <c r="U20" s="215"/>
    </row>
    <row r="21" spans="1:21" s="4" customFormat="1" ht="26.4">
      <c r="A21" s="128" t="str">
        <f ca="1">OFFSET(PO!J$12,ROW(A21)-ROW($A$12),0)</f>
        <v>Serviço</v>
      </c>
      <c r="B21" s="130" t="str">
        <f ca="1">IF($A21=0,"",OFFSET(PO!K$12,ROW(B21)-ROW(B$12),0))</f>
        <v>1.4.1.</v>
      </c>
      <c r="C21" s="127" t="str">
        <f ca="1">IF(OFFSET(PO!N$12,ROW(C21)-ROW(C$12),0)=0,"",OFFSET(PO!N$12,ROW(C21)-ROW(C$12),0))</f>
        <v xml:space="preserve">Escavação vertical a céu aberto, incluindo carga, descarga e transporte em solo de 1ª categoria com escavadeira hidráulica </v>
      </c>
      <c r="D21" s="129" t="str">
        <f ca="1">IF(OFFSET(PO!O$12,ROW(D21)-ROW(D$12),0)=0,"",OFFSET(PO!O$12,ROW(D21)-ROW(D$12),0))</f>
        <v>m³</v>
      </c>
      <c r="E21" s="165">
        <f ca="1">IF($A21&lt;&gt;"Serviço",0,ROUND(SUMIF($F$9:$P$9,"&lt;&gt;",$F21:$P21),15-13*PO!$X$3))</f>
        <v>339.31</v>
      </c>
      <c r="F21" s="398">
        <v>98</v>
      </c>
      <c r="G21" s="398">
        <v>12</v>
      </c>
      <c r="H21" s="398">
        <v>46</v>
      </c>
      <c r="I21" s="398">
        <v>183.31</v>
      </c>
      <c r="J21" s="398"/>
      <c r="K21" s="398"/>
      <c r="L21" s="398"/>
      <c r="M21" s="398"/>
      <c r="N21" s="398"/>
      <c r="O21" s="398"/>
      <c r="U21" s="215"/>
    </row>
    <row r="22" spans="1:21" s="4" customFormat="1" ht="12.75">
      <c r="A22" s="128" t="str">
        <f ca="1">OFFSET(PO!J$12,ROW(A22)-ROW($A$12),0)</f>
        <v>Serviço</v>
      </c>
      <c r="B22" s="130" t="str">
        <f ca="1">IF($A22=0,"",OFFSET(PO!K$12,ROW(B22)-ROW(B$12),0))</f>
        <v>1.4.2.</v>
      </c>
      <c r="C22" s="127" t="str">
        <f ca="1">IF(OFFSET(PO!N$12,ROW(C22)-ROW(C$12),0)=0,"",OFFSET(PO!N$12,ROW(C22)-ROW(C$12),0))</f>
        <v>Reaterro de vala com escavadeira hidráulica e compactação manual</v>
      </c>
      <c r="D22" s="129" t="str">
        <f ca="1">IF(OFFSET(PO!O$12,ROW(D22)-ROW(D$12),0)=0,"",OFFSET(PO!O$12,ROW(D22)-ROW(D$12),0))</f>
        <v>m³</v>
      </c>
      <c r="E22" s="165">
        <f ca="1">IF($A22&lt;&gt;"Serviço",0,ROUND(SUMIF($F$9:$P$9,"&lt;&gt;",$F22:$P22),15-13*PO!$X$3))</f>
        <v>169.65</v>
      </c>
      <c r="F22" s="398">
        <v>49</v>
      </c>
      <c r="G22" s="398">
        <v>6</v>
      </c>
      <c r="H22" s="398">
        <v>23</v>
      </c>
      <c r="I22" s="398">
        <v>91.65</v>
      </c>
      <c r="J22" s="398"/>
      <c r="K22" s="398"/>
      <c r="L22" s="398"/>
      <c r="M22" s="398"/>
      <c r="N22" s="398"/>
      <c r="O22" s="398"/>
      <c r="U22" s="215"/>
    </row>
    <row r="23" spans="1:21" s="4" customFormat="1" ht="26.4">
      <c r="A23" s="128" t="str">
        <f ca="1">OFFSET(PO!J$12,ROW(A23)-ROW($A$12),0)</f>
        <v>Serviço</v>
      </c>
      <c r="B23" s="130" t="str">
        <f ca="1">IF($A23=0,"",OFFSET(PO!K$12,ROW(B23)-ROW(B$12),0))</f>
        <v>1.4.3.</v>
      </c>
      <c r="C23" s="127" t="str">
        <f ca="1">IF(OFFSET(PO!N$12,ROW(C23)-ROW(C$12),0)=0,"",OFFSET(PO!N$12,ROW(C23)-ROW(C$12),0))</f>
        <v>Base para pavimentação com BRITA GRADUADA - Inclusive compactação. Espessura 15 cm</v>
      </c>
      <c r="D23" s="129" t="str">
        <f ca="1">IF(OFFSET(PO!O$12,ROW(D23)-ROW(D$12),0)=0,"",OFFSET(PO!O$12,ROW(D23)-ROW(D$12),0))</f>
        <v>m³</v>
      </c>
      <c r="E23" s="165">
        <f ca="1">IF($A23&lt;&gt;"Serviço",0,ROUND(SUMIF($F$9:$P$9,"&lt;&gt;",$F23:$P23),15-13*PO!$X$3))</f>
        <v>49.79</v>
      </c>
      <c r="F23" s="398">
        <v>14.1</v>
      </c>
      <c r="G23" s="398">
        <v>1.5</v>
      </c>
      <c r="H23" s="398">
        <v>6.6</v>
      </c>
      <c r="I23" s="398">
        <v>27.59</v>
      </c>
      <c r="J23" s="398"/>
      <c r="K23" s="398"/>
      <c r="L23" s="398"/>
      <c r="M23" s="398"/>
      <c r="N23" s="398"/>
      <c r="O23" s="398"/>
      <c r="U23" s="215"/>
    </row>
    <row r="24" spans="1:21" s="4" customFormat="1" ht="26.4">
      <c r="A24" s="128" t="str">
        <f ca="1">OFFSET(PO!J$12,ROW(A24)-ROW($A$12),0)</f>
        <v>Serviço</v>
      </c>
      <c r="B24" s="130" t="str">
        <f ca="1">IF($A24=0,"",OFFSET(PO!K$12,ROW(B24)-ROW(B$12),0))</f>
        <v>1.4.4.</v>
      </c>
      <c r="C24" s="127" t="str">
        <f ca="1">IF(OFFSET(PO!N$12,ROW(C24)-ROW(C$12),0)=0,"",OFFSET(PO!N$12,ROW(C24)-ROW(C$12),0))</f>
        <v>Transporte comercial com caminhã basculante 6 m³, rodovia pavimentada -BRITA GRADUADA</v>
      </c>
      <c r="D24" s="129" t="str">
        <f ca="1">IF(OFFSET(PO!O$12,ROW(D24)-ROW(D$12),0)=0,"",OFFSET(PO!O$12,ROW(D24)-ROW(D$12),0))</f>
        <v>m³ x Km</v>
      </c>
      <c r="E24" s="165">
        <f ca="1">IF($A24&lt;&gt;"Serviço",0,ROUND(SUMIF($F$9:$P$9,"&lt;&gt;",$F24:$P24),15-13*PO!$X$3))</f>
        <v>746.5</v>
      </c>
      <c r="F24" s="398">
        <v>211.5</v>
      </c>
      <c r="G24" s="398">
        <v>22.5</v>
      </c>
      <c r="H24" s="398">
        <v>99</v>
      </c>
      <c r="I24" s="398">
        <v>413.5</v>
      </c>
      <c r="J24" s="398"/>
      <c r="K24" s="398"/>
      <c r="L24" s="398"/>
      <c r="M24" s="398"/>
      <c r="N24" s="398"/>
      <c r="O24" s="398"/>
      <c r="U24" s="215"/>
    </row>
    <row r="25" spans="1:21" s="4" customFormat="1" ht="39.6">
      <c r="A25" s="128" t="str">
        <f ca="1">OFFSET(PO!J$12,ROW(A25)-ROW($A$12),0)</f>
        <v>Serviço</v>
      </c>
      <c r="B25" s="130" t="str">
        <f ca="1">IF($A25=0,"",OFFSET(PO!K$12,ROW(B25)-ROW(B$12),0))</f>
        <v>1.4.5.</v>
      </c>
      <c r="C25" s="127" t="str">
        <f ca="1">IF(OFFSET(PO!N$12,ROW(C25)-ROW(C$12),0)=0,"",OFFSET(PO!N$12,ROW(C25)-ROW(C$12),0))</f>
        <v>Construção de pavimento com aplicação de concreto betuminoso usinado a quente (CBUQ), camada de rolamento com espessura de 5,0 cm, exclusive transporte</v>
      </c>
      <c r="D25" s="129" t="str">
        <f ca="1">IF(OFFSET(PO!O$12,ROW(D25)-ROW(D$12),0)=0,"",OFFSET(PO!O$12,ROW(D25)-ROW(D$12),0))</f>
        <v>m³</v>
      </c>
      <c r="E25" s="165">
        <f ca="1">IF($A25&lt;&gt;"Serviço",0,ROUND(SUMIF($F$9:$P$9,"&lt;&gt;",$F25:$P25),15-13*PO!$X$3))</f>
        <v>16.61</v>
      </c>
      <c r="F25" s="398">
        <v>4.72</v>
      </c>
      <c r="G25" s="398">
        <v>0.5</v>
      </c>
      <c r="H25" s="398">
        <v>2.2</v>
      </c>
      <c r="I25" s="398">
        <v>9.19</v>
      </c>
      <c r="J25" s="398"/>
      <c r="K25" s="398"/>
      <c r="L25" s="398"/>
      <c r="M25" s="398"/>
      <c r="N25" s="398"/>
      <c r="O25" s="398"/>
      <c r="U25" s="215"/>
    </row>
    <row r="26" spans="1:21" s="4" customFormat="1" ht="26.4">
      <c r="A26" s="128" t="str">
        <f ca="1">OFFSET(PO!J$12,ROW(A26)-ROW($A$12),0)</f>
        <v>Serviço</v>
      </c>
      <c r="B26" s="130" t="str">
        <f ca="1">IF($A26=0,"",OFFSET(PO!K$12,ROW(B26)-ROW(B$12),0))</f>
        <v>1.4.6.</v>
      </c>
      <c r="C26" s="127" t="str">
        <f ca="1">IF(OFFSET(PO!N$12,ROW(C26)-ROW(C$12),0)=0,"",OFFSET(PO!N$12,ROW(C26)-ROW(C$12),0))</f>
        <v>Tubo Concreto Simples Classe PS1, PB DN 300 mm p/ aguas pluviais (NBR 8890)</v>
      </c>
      <c r="D26" s="129" t="str">
        <f ca="1">IF(OFFSET(PO!O$12,ROW(D26)-ROW(D$12),0)=0,"",OFFSET(PO!O$12,ROW(D26)-ROW(D$12),0))</f>
        <v>m</v>
      </c>
      <c r="E26" s="165">
        <f ca="1">IF($A26&lt;&gt;"Serviço",0,ROUND(SUMIF($F$9:$P$9,"&lt;&gt;",$F26:$P26),15-13*PO!$X$3))</f>
        <v>40.5</v>
      </c>
      <c r="F26" s="398"/>
      <c r="G26" s="398"/>
      <c r="H26" s="398"/>
      <c r="I26" s="398">
        <v>40.5</v>
      </c>
      <c r="J26" s="398"/>
      <c r="K26" s="398"/>
      <c r="L26" s="398"/>
      <c r="M26" s="398"/>
      <c r="N26" s="398"/>
      <c r="O26" s="398"/>
      <c r="U26" s="215"/>
    </row>
    <row r="27" spans="1:21" s="4" customFormat="1" ht="39.6">
      <c r="A27" s="128" t="str">
        <f ca="1">OFFSET(PO!J$12,ROW(A27)-ROW($A$12),0)</f>
        <v>Serviço</v>
      </c>
      <c r="B27" s="130" t="str">
        <f ca="1">IF($A27=0,"",OFFSET(PO!K$12,ROW(B27)-ROW(B$12),0))</f>
        <v>1.4.7.</v>
      </c>
      <c r="C27" s="127" t="str">
        <f ca="1">IF(OFFSET(PO!N$12,ROW(C27)-ROW(C$12),0)=0,"",OFFSET(PO!N$12,ROW(C27)-ROW(C$12),0))</f>
        <v xml:space="preserve">Assentamento de tubo de concreto para redes coletoras de águas pluviais diâmetro de 300 mm, junta rígida, instalada em local com baixo nível de interferência </v>
      </c>
      <c r="D27" s="129" t="str">
        <f ca="1">IF(OFFSET(PO!O$12,ROW(D27)-ROW(D$12),0)=0,"",OFFSET(PO!O$12,ROW(D27)-ROW(D$12),0))</f>
        <v>m</v>
      </c>
      <c r="E27" s="165">
        <f ca="1">IF($A27&lt;&gt;"Serviço",0,ROUND(SUMIF($F$9:$P$9,"&lt;&gt;",$F27:$P27),15-13*PO!$X$3))</f>
        <v>40.5</v>
      </c>
      <c r="F27" s="398"/>
      <c r="G27" s="398"/>
      <c r="H27" s="398"/>
      <c r="I27" s="398">
        <v>40.5</v>
      </c>
      <c r="J27" s="398"/>
      <c r="K27" s="398"/>
      <c r="L27" s="398"/>
      <c r="M27" s="398"/>
      <c r="N27" s="398"/>
      <c r="O27" s="398"/>
      <c r="U27" s="215"/>
    </row>
    <row r="28" spans="1:21" s="4" customFormat="1" ht="26.4">
      <c r="A28" s="128" t="str">
        <f ca="1">OFFSET(PO!J$12,ROW(A28)-ROW($A$12),0)</f>
        <v>Serviço</v>
      </c>
      <c r="B28" s="130" t="str">
        <f ca="1">IF($A28=0,"",OFFSET(PO!K$12,ROW(B28)-ROW(B$12),0))</f>
        <v>1.4.8.</v>
      </c>
      <c r="C28" s="127" t="str">
        <f ca="1">IF(OFFSET(PO!N$12,ROW(C28)-ROW(C$12),0)=0,"",OFFSET(PO!N$12,ROW(C28)-ROW(C$12),0))</f>
        <v>Tubo Concreto Simples Classe PS1, PB DN 400 mm p/ aguas pluviais (NBR 8890)</v>
      </c>
      <c r="D28" s="129" t="str">
        <f ca="1">IF(OFFSET(PO!O$12,ROW(D28)-ROW(D$12),0)=0,"",OFFSET(PO!O$12,ROW(D28)-ROW(D$12),0))</f>
        <v>m</v>
      </c>
      <c r="E28" s="165">
        <f ca="1">IF($A28&lt;&gt;"Serviço",0,ROUND(SUMIF($F$9:$P$9,"&lt;&gt;",$F28:$P28),15-13*PO!$X$3))</f>
        <v>295.5</v>
      </c>
      <c r="F28" s="398">
        <v>94</v>
      </c>
      <c r="G28" s="398">
        <v>10</v>
      </c>
      <c r="H28" s="398">
        <v>44</v>
      </c>
      <c r="I28" s="398">
        <v>147.5</v>
      </c>
      <c r="J28" s="398"/>
      <c r="K28" s="398"/>
      <c r="L28" s="398"/>
      <c r="M28" s="398"/>
      <c r="N28" s="398"/>
      <c r="O28" s="398"/>
      <c r="U28" s="215"/>
    </row>
    <row r="29" spans="1:21" s="4" customFormat="1" ht="39.6">
      <c r="A29" s="128" t="str">
        <f ca="1">OFFSET(PO!J$12,ROW(A29)-ROW($A$12),0)</f>
        <v>Serviço</v>
      </c>
      <c r="B29" s="130" t="str">
        <f ca="1">IF($A29=0,"",OFFSET(PO!K$12,ROW(B29)-ROW(B$12),0))</f>
        <v>1.4.9.</v>
      </c>
      <c r="C29" s="127" t="str">
        <f ca="1">IF(OFFSET(PO!N$12,ROW(C29)-ROW(C$12),0)=0,"",OFFSET(PO!N$12,ROW(C29)-ROW(C$12),0))</f>
        <v xml:space="preserve">Assentamento de tubo de concreto para redes coletoras de águas pluviais diâmetro de 400 mm, junta rígida, instalada em local com baixo nível de interferência </v>
      </c>
      <c r="D29" s="129" t="str">
        <f ca="1">IF(OFFSET(PO!O$12,ROW(D29)-ROW(D$12),0)=0,"",OFFSET(PO!O$12,ROW(D29)-ROW(D$12),0))</f>
        <v>m</v>
      </c>
      <c r="E29" s="165">
        <f ca="1">IF($A29&lt;&gt;"Serviço",0,ROUND(SUMIF($F$9:$P$9,"&lt;&gt;",$F29:$P29),15-13*PO!$X$3))</f>
        <v>295.5</v>
      </c>
      <c r="F29" s="398">
        <v>94</v>
      </c>
      <c r="G29" s="398">
        <v>10</v>
      </c>
      <c r="H29" s="398">
        <v>44</v>
      </c>
      <c r="I29" s="398">
        <v>147.5</v>
      </c>
      <c r="J29" s="398"/>
      <c r="K29" s="398"/>
      <c r="L29" s="398"/>
      <c r="M29" s="398"/>
      <c r="N29" s="398"/>
      <c r="O29" s="398"/>
      <c r="U29" s="215"/>
    </row>
    <row r="30" spans="1:21" s="4" customFormat="1" ht="12.75">
      <c r="A30" s="128" t="str">
        <f ca="1">OFFSET(PO!J$12,ROW(A30)-ROW($A$12),0)</f>
        <v>Serviço</v>
      </c>
      <c r="B30" s="130" t="str">
        <f ca="1">IF($A30=0,"",OFFSET(PO!K$12,ROW(B30)-ROW(B$12),0))</f>
        <v>1.4.10.</v>
      </c>
      <c r="C30" s="127" t="str">
        <f ca="1">IF(OFFSET(PO!N$12,ROW(C30)-ROW(C$12),0)=0,"",OFFSET(PO!N$12,ROW(C30)-ROW(C$12),0))</f>
        <v>Boca de Lobo Simples Grelha de ferro. p/ tubo diâmetro 40 cm e 60 cm</v>
      </c>
      <c r="D30" s="129" t="str">
        <f ca="1">IF(OFFSET(PO!O$12,ROW(D30)-ROW(D$12),0)=0,"",OFFSET(PO!O$12,ROW(D30)-ROW(D$12),0))</f>
        <v>und</v>
      </c>
      <c r="E30" s="165">
        <f ca="1">IF($A30&lt;&gt;"Serviço",0,ROUND(SUMIF($F$9:$P$9,"&lt;&gt;",$F30:$P30),15-13*PO!$X$3))</f>
        <v>13</v>
      </c>
      <c r="F30" s="398">
        <v>4</v>
      </c>
      <c r="G30" s="398">
        <v>2</v>
      </c>
      <c r="H30" s="398">
        <v>3</v>
      </c>
      <c r="I30" s="398">
        <v>4</v>
      </c>
      <c r="J30" s="398"/>
      <c r="K30" s="398"/>
      <c r="L30" s="398"/>
      <c r="M30" s="398"/>
      <c r="N30" s="398"/>
      <c r="O30" s="398"/>
      <c r="U30" s="215"/>
    </row>
    <row r="31" spans="1:21" s="4" customFormat="1" ht="12.75">
      <c r="A31" s="128" t="str">
        <f ca="1">OFFSET(PO!J$12,ROW(A31)-ROW($A$12),0)</f>
        <v>Serviço</v>
      </c>
      <c r="B31" s="130" t="str">
        <f ca="1">IF($A31=0,"",OFFSET(PO!K$12,ROW(B31)-ROW(B$12),0))</f>
        <v>1.4.11.</v>
      </c>
      <c r="C31" s="127" t="str">
        <f ca="1">IF(OFFSET(PO!N$12,ROW(C31)-ROW(C$12),0)=0,"",OFFSET(PO!N$12,ROW(C31)-ROW(C$12),0))</f>
        <v>Reforma de Boca de Lobo para encaixe de tubulação</v>
      </c>
      <c r="D31" s="129" t="str">
        <f ca="1">IF(OFFSET(PO!O$12,ROW(D31)-ROW(D$12),0)=0,"",OFFSET(PO!O$12,ROW(D31)-ROW(D$12),0))</f>
        <v>und</v>
      </c>
      <c r="E31" s="165">
        <f ca="1">IF($A31&lt;&gt;"Serviço",0,ROUND(SUMIF($F$9:$P$9,"&lt;&gt;",$F31:$P31),15-13*PO!$X$3))</f>
        <v>1</v>
      </c>
      <c r="F31" s="398">
        <v>1</v>
      </c>
      <c r="G31" s="398"/>
      <c r="H31" s="398"/>
      <c r="I31" s="398"/>
      <c r="J31" s="398"/>
      <c r="K31" s="398"/>
      <c r="L31" s="398"/>
      <c r="M31" s="398"/>
      <c r="N31" s="398"/>
      <c r="O31" s="398"/>
      <c r="U31" s="215"/>
    </row>
    <row r="32" spans="1:21" s="4" customFormat="1" ht="12.75">
      <c r="A32" s="128" t="str">
        <f ca="1">OFFSET(PO!J$12,ROW(A32)-ROW($A$12),0)</f>
        <v>Serviço</v>
      </c>
      <c r="B32" s="130" t="str">
        <f ca="1">IF($A32=0,"",OFFSET(PO!K$12,ROW(B32)-ROW(B$12),0))</f>
        <v>1.4.12.</v>
      </c>
      <c r="C32" s="127" t="str">
        <f ca="1">IF(OFFSET(PO!N$12,ROW(C32)-ROW(C$12),0)=0,"",OFFSET(PO!N$12,ROW(C32)-ROW(C$12),0))</f>
        <v>Remoção de tubulação existente</v>
      </c>
      <c r="D32" s="129" t="str">
        <f ca="1">IF(OFFSET(PO!O$12,ROW(D32)-ROW(D$12),0)=0,"",OFFSET(PO!O$12,ROW(D32)-ROW(D$12),0))</f>
        <v>und</v>
      </c>
      <c r="E32" s="165">
        <f ca="1">IF($A32&lt;&gt;"Serviço",0,ROUND(SUMIF($F$9:$P$9,"&lt;&gt;",$F32:$P32),15-13*PO!$X$3))</f>
        <v>8</v>
      </c>
      <c r="F32" s="398"/>
      <c r="G32" s="398"/>
      <c r="H32" s="398">
        <v>8</v>
      </c>
      <c r="I32" s="398"/>
      <c r="J32" s="398"/>
      <c r="K32" s="398"/>
      <c r="L32" s="398"/>
      <c r="M32" s="398"/>
      <c r="N32" s="398"/>
      <c r="O32" s="398"/>
      <c r="U32" s="215"/>
    </row>
    <row r="33" spans="1:21" s="4" customFormat="1" ht="12.75">
      <c r="A33" s="128" t="str">
        <f ca="1">OFFSET(PO!J$12,ROW(A33)-ROW($A$12),0)</f>
        <v>Serviço</v>
      </c>
      <c r="B33" s="130" t="str">
        <f ca="1">IF($A33=0,"",OFFSET(PO!K$12,ROW(B33)-ROW(B$12),0))</f>
        <v>1.4.13.</v>
      </c>
      <c r="C33" s="127" t="str">
        <f ca="1">IF(OFFSET(PO!N$12,ROW(C33)-ROW(C$12),0)=0,"",OFFSET(PO!N$12,ROW(C33)-ROW(C$12),0))</f>
        <v>Grade de ferro em barra chata 3/16"</v>
      </c>
      <c r="D33" s="129" t="str">
        <f ca="1">IF(OFFSET(PO!O$12,ROW(D33)-ROW(D$12),0)=0,"",OFFSET(PO!O$12,ROW(D33)-ROW(D$12),0))</f>
        <v>m²</v>
      </c>
      <c r="E33" s="165">
        <f ca="1">IF($A33&lt;&gt;"Serviço",0,ROUND(SUMIF($F$9:$P$9,"&lt;&gt;",$F33:$P33),15-13*PO!$X$3))</f>
        <v>0.48</v>
      </c>
      <c r="F33" s="398"/>
      <c r="G33" s="398"/>
      <c r="H33" s="398"/>
      <c r="I33" s="398">
        <v>0.48</v>
      </c>
      <c r="J33" s="398"/>
      <c r="K33" s="398"/>
      <c r="L33" s="398"/>
      <c r="M33" s="398"/>
      <c r="N33" s="398"/>
      <c r="O33" s="398"/>
      <c r="U33" s="215"/>
    </row>
    <row r="34" spans="1:21" s="4" customFormat="1" ht="12.75">
      <c r="A34" s="128" t="str">
        <f ca="1">OFFSET(PO!J$12,ROW(A34)-ROW($A$12),0)</f>
        <v>Nível 2</v>
      </c>
      <c r="B34" s="130" t="str">
        <f ca="1">IF($A34=0,"",OFFSET(PO!K$12,ROW(B34)-ROW(B$12),0))</f>
        <v>1.5.</v>
      </c>
      <c r="C34" s="127" t="str">
        <f ca="1">IF(OFFSET(PO!N$12,ROW(C34)-ROW(C$12),0)=0,"",OFFSET(PO!N$12,ROW(C34)-ROW(C$12),0))</f>
        <v>PAVIMENTAÇÃO ASFÁLTICA</v>
      </c>
      <c r="D34" s="129" t="str">
        <f ca="1">IF(OFFSET(PO!O$12,ROW(D34)-ROW(D$12),0)=0,"",OFFSET(PO!O$12,ROW(D34)-ROW(D$12),0))</f>
        <v/>
      </c>
      <c r="E34" s="165">
        <f ca="1">IF($A34&lt;&gt;"Serviço",0,ROUND(SUMIF($F$9:$P$9,"&lt;&gt;",$F34:$P34),15-13*PO!$X$3))</f>
        <v>0</v>
      </c>
      <c r="F34" s="398"/>
      <c r="G34" s="398"/>
      <c r="H34" s="398"/>
      <c r="I34" s="398"/>
      <c r="J34" s="398"/>
      <c r="K34" s="398"/>
      <c r="L34" s="398"/>
      <c r="M34" s="398"/>
      <c r="N34" s="398"/>
      <c r="O34" s="398"/>
      <c r="U34" s="215"/>
    </row>
    <row r="35" spans="1:21" s="4" customFormat="1" ht="26.4">
      <c r="A35" s="128" t="str">
        <f ca="1">OFFSET(PO!J$12,ROW(A35)-ROW($A$12),0)</f>
        <v>Serviço</v>
      </c>
      <c r="B35" s="130" t="str">
        <f ca="1">IF($A35=0,"",OFFSET(PO!K$12,ROW(B35)-ROW(B$12),0))</f>
        <v>1.5.1.</v>
      </c>
      <c r="C35" s="127" t="str">
        <f ca="1">IF(OFFSET(PO!N$12,ROW(C35)-ROW(C$12),0)=0,"",OFFSET(PO!N$12,ROW(C35)-ROW(C$12),0))</f>
        <v xml:space="preserve">Escavação vertical a céu aberto, incluindo carga, descarga e transporte em solo de 1ª categoria com escavadeira hidráulica </v>
      </c>
      <c r="D35" s="129" t="str">
        <f ca="1">IF(OFFSET(PO!O$12,ROW(D35)-ROW(D$12),0)=0,"",OFFSET(PO!O$12,ROW(D35)-ROW(D$12),0))</f>
        <v>m³</v>
      </c>
      <c r="E35" s="165">
        <f ca="1">IF($A35&lt;&gt;"Serviço",0,ROUND(SUMIF($F$9:$P$9,"&lt;&gt;",$F35:$P35),15-13*PO!$X$3))</f>
        <v>28.68</v>
      </c>
      <c r="F35" s="398"/>
      <c r="G35" s="398"/>
      <c r="H35" s="398"/>
      <c r="I35" s="398">
        <v>28.68</v>
      </c>
      <c r="J35" s="398"/>
      <c r="K35" s="398"/>
      <c r="L35" s="398"/>
      <c r="M35" s="398"/>
      <c r="N35" s="398"/>
      <c r="O35" s="398"/>
      <c r="U35" s="215"/>
    </row>
    <row r="36" spans="1:21" s="4" customFormat="1" ht="12.75">
      <c r="A36" s="128" t="str">
        <f ca="1">OFFSET(PO!J$12,ROW(A36)-ROW($A$12),0)</f>
        <v>Serviço</v>
      </c>
      <c r="B36" s="130" t="str">
        <f ca="1">IF($A36=0,"",OFFSET(PO!K$12,ROW(B36)-ROW(B$12),0))</f>
        <v>1.5.2.</v>
      </c>
      <c r="C36" s="127" t="str">
        <f ca="1">IF(OFFSET(PO!N$12,ROW(C36)-ROW(C$12),0)=0,"",OFFSET(PO!N$12,ROW(C36)-ROW(C$12),0))</f>
        <v>Embasamento com material granular - RACHÃO</v>
      </c>
      <c r="D36" s="129" t="str">
        <f ca="1">IF(OFFSET(PO!O$12,ROW(D36)-ROW(D$12),0)=0,"",OFFSET(PO!O$12,ROW(D36)-ROW(D$12),0))</f>
        <v>m²</v>
      </c>
      <c r="E36" s="165">
        <f ca="1">IF($A36&lt;&gt;"Serviço",0,ROUND(SUMIF($F$9:$P$9,"&lt;&gt;",$F36:$P36),15-13*PO!$X$3))</f>
        <v>10.75</v>
      </c>
      <c r="F36" s="398"/>
      <c r="G36" s="398"/>
      <c r="H36" s="398"/>
      <c r="I36" s="398">
        <v>10.75</v>
      </c>
      <c r="J36" s="398"/>
      <c r="K36" s="398"/>
      <c r="L36" s="398"/>
      <c r="M36" s="398"/>
      <c r="N36" s="398"/>
      <c r="O36" s="398"/>
      <c r="U36" s="215"/>
    </row>
    <row r="37" spans="1:21" s="4" customFormat="1" ht="26.4">
      <c r="A37" s="128" t="str">
        <f ca="1">OFFSET(PO!J$12,ROW(A37)-ROW($A$12),0)</f>
        <v>Serviço</v>
      </c>
      <c r="B37" s="130" t="str">
        <f ca="1">IF($A37=0,"",OFFSET(PO!K$12,ROW(B37)-ROW(B$12),0))</f>
        <v>1.5.3.</v>
      </c>
      <c r="C37" s="127" t="str">
        <f ca="1">IF(OFFSET(PO!N$12,ROW(C37)-ROW(C$12),0)=0,"",OFFSET(PO!N$12,ROW(C37)-ROW(C$12),0))</f>
        <v>Base para pavimentação com BRITA GRADUADA - Inclusive compactação. Espessura 15 cm</v>
      </c>
      <c r="D37" s="129" t="str">
        <f ca="1">IF(OFFSET(PO!O$12,ROW(D37)-ROW(D$12),0)=0,"",OFFSET(PO!O$12,ROW(D37)-ROW(D$12),0))</f>
        <v>m³</v>
      </c>
      <c r="E37" s="165">
        <f ca="1">IF($A37&lt;&gt;"Serviço",0,ROUND(SUMIF($F$9:$P$9,"&lt;&gt;",$F37:$P37),15-13*PO!$X$3))</f>
        <v>10.75</v>
      </c>
      <c r="F37" s="398"/>
      <c r="G37" s="398"/>
      <c r="H37" s="398"/>
      <c r="I37" s="398">
        <v>10.75</v>
      </c>
      <c r="J37" s="398"/>
      <c r="K37" s="398"/>
      <c r="L37" s="398"/>
      <c r="M37" s="398"/>
      <c r="N37" s="398"/>
      <c r="O37" s="398"/>
      <c r="U37" s="215"/>
    </row>
    <row r="38" spans="1:21" s="4" customFormat="1" ht="26.4">
      <c r="A38" s="128" t="str">
        <f ca="1">OFFSET(PO!J$12,ROW(A38)-ROW($A$12),0)</f>
        <v>Serviço</v>
      </c>
      <c r="B38" s="130" t="str">
        <f ca="1">IF($A38=0,"",OFFSET(PO!K$12,ROW(B38)-ROW(B$12),0))</f>
        <v>1.5.4.</v>
      </c>
      <c r="C38" s="127" t="str">
        <f ca="1">IF(OFFSET(PO!N$12,ROW(C38)-ROW(C$12),0)=0,"",OFFSET(PO!N$12,ROW(C38)-ROW(C$12),0))</f>
        <v>Transporte comercial com caminhão basculante 6 m³, Rodovia Pavimentada - Rachão e Brita Graduada</v>
      </c>
      <c r="D38" s="129" t="str">
        <f ca="1">IF(OFFSET(PO!O$12,ROW(D38)-ROW(D$12),0)=0,"",OFFSET(PO!O$12,ROW(D38)-ROW(D$12),0))</f>
        <v>m³xKm</v>
      </c>
      <c r="E38" s="165">
        <f ca="1">IF($A38&lt;&gt;"Serviço",0,ROUND(SUMIF($F$9:$P$9,"&lt;&gt;",$F38:$P38),15-13*PO!$X$3))</f>
        <v>322.5</v>
      </c>
      <c r="F38" s="398"/>
      <c r="G38" s="398"/>
      <c r="H38" s="398"/>
      <c r="I38" s="398">
        <v>322.5</v>
      </c>
      <c r="J38" s="398"/>
      <c r="K38" s="398"/>
      <c r="L38" s="398"/>
      <c r="M38" s="398"/>
      <c r="N38" s="398"/>
      <c r="O38" s="398"/>
      <c r="U38" s="215"/>
    </row>
    <row r="39" spans="1:21" s="4" customFormat="1" ht="12.75">
      <c r="A39" s="128" t="str">
        <f ca="1">OFFSET(PO!J$12,ROW(A39)-ROW($A$12),0)</f>
        <v>Serviço</v>
      </c>
      <c r="B39" s="130" t="str">
        <f ca="1">IF($A39=0,"",OFFSET(PO!K$12,ROW(B39)-ROW(B$12),0))</f>
        <v>1.5.5.</v>
      </c>
      <c r="C39" s="127" t="str">
        <f ca="1">IF(OFFSET(PO!N$12,ROW(C39)-ROW(C$12),0)=0,"",OFFSET(PO!N$12,ROW(C39)-ROW(C$12),0))</f>
        <v>Limpeza de superfícies com jato de alta pressão de ar e água</v>
      </c>
      <c r="D39" s="129" t="str">
        <f ca="1">IF(OFFSET(PO!O$12,ROW(D39)-ROW(D$12),0)=0,"",OFFSET(PO!O$12,ROW(D39)-ROW(D$12),0))</f>
        <v>m²</v>
      </c>
      <c r="E39" s="165">
        <f ca="1">IF($A39&lt;&gt;"Serviço",0,ROUND(SUMIF($F$9:$P$9,"&lt;&gt;",$F39:$P39),15-13*PO!$X$3))</f>
        <v>3271.7</v>
      </c>
      <c r="F39" s="398">
        <v>1267.65</v>
      </c>
      <c r="G39" s="398">
        <v>604.65</v>
      </c>
      <c r="H39" s="398">
        <v>752.95</v>
      </c>
      <c r="I39" s="398">
        <v>646.45</v>
      </c>
      <c r="J39" s="398"/>
      <c r="K39" s="398"/>
      <c r="L39" s="398"/>
      <c r="M39" s="398"/>
      <c r="N39" s="398"/>
      <c r="O39" s="398"/>
      <c r="U39" s="215"/>
    </row>
    <row r="40" spans="1:21" s="4" customFormat="1" ht="12.75">
      <c r="A40" s="128" t="str">
        <f ca="1">OFFSET(PO!J$12,ROW(A40)-ROW($A$12),0)</f>
        <v>Serviço</v>
      </c>
      <c r="B40" s="130" t="str">
        <f ca="1">IF($A40=0,"",OFFSET(PO!K$12,ROW(B40)-ROW(B$12),0))</f>
        <v>1.5.6.</v>
      </c>
      <c r="C40" s="127" t="str">
        <f ca="1">IF(OFFSET(PO!N$12,ROW(C40)-ROW(C$12),0)=0,"",OFFSET(PO!N$12,ROW(C40)-ROW(C$12),0))</f>
        <v>Pintura de Ligação com emulsão RR 2C taxa 0,60 L/m²</v>
      </c>
      <c r="D40" s="129" t="str">
        <f ca="1">IF(OFFSET(PO!O$12,ROW(D40)-ROW(D$12),0)=0,"",OFFSET(PO!O$12,ROW(D40)-ROW(D$12),0))</f>
        <v>m²</v>
      </c>
      <c r="E40" s="165">
        <f ca="1">IF($A40&lt;&gt;"Serviço",0,ROUND(SUMIF($F$9:$P$9,"&lt;&gt;",$F40:$P40),15-13*PO!$X$3))</f>
        <v>3271.7</v>
      </c>
      <c r="F40" s="398">
        <v>1267.65</v>
      </c>
      <c r="G40" s="398">
        <v>604.65</v>
      </c>
      <c r="H40" s="398">
        <v>752.95</v>
      </c>
      <c r="I40" s="398">
        <v>646.45</v>
      </c>
      <c r="J40" s="398"/>
      <c r="K40" s="398"/>
      <c r="L40" s="398"/>
      <c r="M40" s="398"/>
      <c r="N40" s="398"/>
      <c r="O40" s="398"/>
      <c r="U40" s="215"/>
    </row>
    <row r="41" spans="1:21" s="4" customFormat="1" ht="39.6">
      <c r="A41" s="128" t="str">
        <f ca="1">OFFSET(PO!J$12,ROW(A41)-ROW($A$12),0)</f>
        <v>Serviço</v>
      </c>
      <c r="B41" s="130" t="str">
        <f ca="1">IF($A41=0,"",OFFSET(PO!K$12,ROW(B41)-ROW(B$12),0))</f>
        <v>1.5.7.</v>
      </c>
      <c r="C41" s="127" t="str">
        <f ca="1">IF(OFFSET(PO!N$12,ROW(C41)-ROW(C$12),0)=0,"",OFFSET(PO!N$12,ROW(C41)-ROW(C$12),0))</f>
        <v>Construção de pavimento com aplicação de concreto betuminoso usinado a quente (CBUQ), Binder com espessura de 3,0 cm, exclusive transporte</v>
      </c>
      <c r="D41" s="129" t="str">
        <f ca="1">IF(OFFSET(PO!O$12,ROW(D41)-ROW(D$12),0)=0,"",OFFSET(PO!O$12,ROW(D41)-ROW(D$12),0))</f>
        <v>m³</v>
      </c>
      <c r="E41" s="165">
        <f ca="1">IF($A41&lt;&gt;"Serviço",0,ROUND(SUMIF($F$9:$P$9,"&lt;&gt;",$F41:$P41),15-13*PO!$X$3))</f>
        <v>98.18</v>
      </c>
      <c r="F41" s="398">
        <v>38.03</v>
      </c>
      <c r="G41" s="398">
        <v>18.14</v>
      </c>
      <c r="H41" s="398">
        <v>22.62</v>
      </c>
      <c r="I41" s="398">
        <v>19.39</v>
      </c>
      <c r="J41" s="398"/>
      <c r="K41" s="398"/>
      <c r="L41" s="398"/>
      <c r="M41" s="398"/>
      <c r="N41" s="398"/>
      <c r="O41" s="398"/>
      <c r="U41" s="215"/>
    </row>
    <row r="42" spans="1:21" s="4" customFormat="1" ht="26.4">
      <c r="A42" s="128" t="str">
        <f ca="1">OFFSET(PO!J$12,ROW(A42)-ROW($A$12),0)</f>
        <v>Serviço</v>
      </c>
      <c r="B42" s="130" t="str">
        <f ca="1">IF($A42=0,"",OFFSET(PO!K$12,ROW(B42)-ROW(B$12),0))</f>
        <v>1.5.8.</v>
      </c>
      <c r="C42" s="127" t="str">
        <f ca="1">IF(OFFSET(PO!N$12,ROW(C42)-ROW(C$12),0)=0,"",OFFSET(PO!N$12,ROW(C42)-ROW(C$12),0))</f>
        <v>Transporte comercial com caminhão basculante 6 m³, Rodovia Pavimentada</v>
      </c>
      <c r="D42" s="129" t="str">
        <f ca="1">IF(OFFSET(PO!O$12,ROW(D42)-ROW(D$12),0)=0,"",OFFSET(PO!O$12,ROW(D42)-ROW(D$12),0))</f>
        <v>m³xKm</v>
      </c>
      <c r="E42" s="165">
        <f ca="1">IF($A42&lt;&gt;"Serviço",0,ROUND(SUMIF($F$9:$P$9,"&lt;&gt;",$F42:$P42),15-13*PO!$X$3))</f>
        <v>5398.7</v>
      </c>
      <c r="F42" s="398">
        <v>2091</v>
      </c>
      <c r="G42" s="398">
        <v>997.7</v>
      </c>
      <c r="H42" s="398">
        <v>1244</v>
      </c>
      <c r="I42" s="398">
        <v>1066</v>
      </c>
      <c r="J42" s="398"/>
      <c r="K42" s="398"/>
      <c r="L42" s="398"/>
      <c r="M42" s="398"/>
      <c r="N42" s="398"/>
      <c r="O42" s="398"/>
      <c r="U42" s="215"/>
    </row>
    <row r="43" spans="1:21" s="4" customFormat="1" ht="12.75">
      <c r="A43" s="128" t="str">
        <f ca="1">OFFSET(PO!J$12,ROW(A43)-ROW($A$12),0)</f>
        <v>Serviço</v>
      </c>
      <c r="B43" s="130" t="str">
        <f ca="1">IF($A43=0,"",OFFSET(PO!K$12,ROW(B43)-ROW(B$12),0))</f>
        <v>1.5.9.</v>
      </c>
      <c r="C43" s="127" t="str">
        <f ca="1">IF(OFFSET(PO!N$12,ROW(C43)-ROW(C$12),0)=0,"",OFFSET(PO!N$12,ROW(C43)-ROW(C$12),0))</f>
        <v>Pintura de Ligação com emulsão RR 2C taxa 0,60 L/m²</v>
      </c>
      <c r="D43" s="129" t="str">
        <f ca="1">IF(OFFSET(PO!O$12,ROW(D43)-ROW(D$12),0)=0,"",OFFSET(PO!O$12,ROW(D43)-ROW(D$12),0))</f>
        <v>m³</v>
      </c>
      <c r="E43" s="165">
        <f ca="1">IF($A43&lt;&gt;"Serviço",0,ROUND(SUMIF($F$9:$P$9,"&lt;&gt;",$F43:$P43),15-13*PO!$X$3))</f>
        <v>3271.7</v>
      </c>
      <c r="F43" s="398">
        <v>1267.65</v>
      </c>
      <c r="G43" s="398">
        <v>604.65</v>
      </c>
      <c r="H43" s="398">
        <v>752.95</v>
      </c>
      <c r="I43" s="398">
        <v>646.45</v>
      </c>
      <c r="J43" s="398"/>
      <c r="K43" s="398"/>
      <c r="L43" s="398"/>
      <c r="M43" s="398"/>
      <c r="N43" s="398"/>
      <c r="O43" s="398"/>
      <c r="U43" s="215"/>
    </row>
    <row r="44" spans="1:21" s="4" customFormat="1" ht="39.6">
      <c r="A44" s="128" t="str">
        <f ca="1">OFFSET(PO!J$12,ROW(A44)-ROW($A$12),0)</f>
        <v>Serviço</v>
      </c>
      <c r="B44" s="130" t="str">
        <f ca="1">IF($A44=0,"",OFFSET(PO!K$12,ROW(B44)-ROW(B$12),0))</f>
        <v>1.5.10.</v>
      </c>
      <c r="C44" s="127" t="str">
        <f ca="1">IF(OFFSET(PO!N$12,ROW(C44)-ROW(C$12),0)=0,"",OFFSET(PO!N$12,ROW(C44)-ROW(C$12),0))</f>
        <v>Construção de pavimento com aplicação de concreto betuminoso usinado a quente (CBUQ), Camada de Rolamento com espessura de 4,0 cm, exclusive transporte</v>
      </c>
      <c r="D44" s="129" t="str">
        <f ca="1">IF(OFFSET(PO!O$12,ROW(D44)-ROW(D$12),0)=0,"",OFFSET(PO!O$12,ROW(D44)-ROW(D$12),0))</f>
        <v>m³</v>
      </c>
      <c r="E44" s="165">
        <f ca="1">IF($A44&lt;&gt;"Serviço",0,ROUND(SUMIF($F$9:$P$9,"&lt;&gt;",$F44:$P44),15-13*PO!$X$3))</f>
        <v>130.86</v>
      </c>
      <c r="F44" s="398">
        <v>50.71</v>
      </c>
      <c r="G44" s="398">
        <v>24.18</v>
      </c>
      <c r="H44" s="398">
        <v>30.12</v>
      </c>
      <c r="I44" s="398">
        <v>25.85</v>
      </c>
      <c r="J44" s="398"/>
      <c r="K44" s="398"/>
      <c r="L44" s="398"/>
      <c r="M44" s="398"/>
      <c r="N44" s="398"/>
      <c r="O44" s="398"/>
      <c r="U44" s="215"/>
    </row>
    <row r="45" spans="1:21" s="4" customFormat="1" ht="26.4">
      <c r="A45" s="128" t="str">
        <f ca="1">OFFSET(PO!J$12,ROW(A45)-ROW($A$12),0)</f>
        <v>Serviço</v>
      </c>
      <c r="B45" s="130" t="str">
        <f ca="1">IF($A45=0,"",OFFSET(PO!K$12,ROW(B45)-ROW(B$12),0))</f>
        <v>1.5.11.</v>
      </c>
      <c r="C45" s="127" t="str">
        <f ca="1">IF(OFFSET(PO!N$12,ROW(C45)-ROW(C$12),0)=0,"",OFFSET(PO!N$12,ROW(C45)-ROW(C$12),0))</f>
        <v>Transporte comercial com caminhão basculante 6 m³, Rodovia Pavimentada</v>
      </c>
      <c r="D45" s="129" t="str">
        <f ca="1">IF(OFFSET(PO!O$12,ROW(D45)-ROW(D$12),0)=0,"",OFFSET(PO!O$12,ROW(D45)-ROW(D$12),0))</f>
        <v>m³xKm</v>
      </c>
      <c r="E45" s="165">
        <f ca="1">IF($A45&lt;&gt;"Serviço",0,ROUND(SUMIF($F$9:$P$9,"&lt;&gt;",$F45:$P45),15-13*PO!$X$3))</f>
        <v>7547.55</v>
      </c>
      <c r="F45" s="398">
        <v>2789</v>
      </c>
      <c r="G45" s="398">
        <v>1330</v>
      </c>
      <c r="H45" s="398">
        <v>1657</v>
      </c>
      <c r="I45" s="398">
        <v>1771.55</v>
      </c>
      <c r="J45" s="398"/>
      <c r="K45" s="398"/>
      <c r="L45" s="398"/>
      <c r="M45" s="398"/>
      <c r="N45" s="398"/>
      <c r="O45" s="398"/>
      <c r="U45" s="215"/>
    </row>
    <row r="46" spans="1:21" s="4" customFormat="1" ht="39.6">
      <c r="A46" s="128" t="str">
        <f ca="1">OFFSET(PO!J$12,ROW(A46)-ROW($A$12),0)</f>
        <v>Serviço</v>
      </c>
      <c r="B46" s="130" t="str">
        <f ca="1">IF($A46=0,"",OFFSET(PO!K$12,ROW(B46)-ROW(B$12),0))</f>
        <v>1.5.12.</v>
      </c>
      <c r="C46" s="127" t="str">
        <f ca="1">IF(OFFSET(PO!N$12,ROW(C46)-ROW(C$12),0)=0,"",OFFSET(PO!N$12,ROW(C46)-ROW(C$12),0))</f>
        <v>Placa de sinalização viária circular D=50 cm, com suporte de aço galvanizado D = 50 mm e altura = 3m, inclusive base de concreto não estrutural   - VELOCIDADE 40 Km/h</v>
      </c>
      <c r="D46" s="129" t="str">
        <f ca="1">IF(OFFSET(PO!O$12,ROW(D46)-ROW(D$12),0)=0,"",OFFSET(PO!O$12,ROW(D46)-ROW(D$12),0))</f>
        <v>und</v>
      </c>
      <c r="E46" s="165">
        <f ca="1">IF($A46&lt;&gt;"Serviço",0,ROUND(SUMIF($F$9:$P$9,"&lt;&gt;",$F46:$P46),15-13*PO!$X$3))</f>
        <v>4</v>
      </c>
      <c r="F46" s="398">
        <v>1</v>
      </c>
      <c r="G46" s="398">
        <v>1</v>
      </c>
      <c r="H46" s="398">
        <v>1</v>
      </c>
      <c r="I46" s="398">
        <v>1</v>
      </c>
      <c r="J46" s="398"/>
      <c r="K46" s="398"/>
      <c r="L46" s="398"/>
      <c r="M46" s="398"/>
      <c r="N46" s="398"/>
      <c r="O46" s="398"/>
      <c r="U46" s="215"/>
    </row>
    <row r="47" spans="1:21" s="4" customFormat="1" ht="39.6">
      <c r="A47" s="128" t="str">
        <f ca="1">OFFSET(PO!J$12,ROW(A47)-ROW($A$12),0)</f>
        <v>Serviço</v>
      </c>
      <c r="B47" s="130" t="str">
        <f ca="1">IF($A47=0,"",OFFSET(PO!K$12,ROW(B47)-ROW(B$12),0))</f>
        <v>1.5.13.</v>
      </c>
      <c r="C47" s="127" t="str">
        <f ca="1">IF(OFFSET(PO!N$12,ROW(C47)-ROW(C$12),0)=0,"",OFFSET(PO!N$12,ROW(C47)-ROW(C$12),0))</f>
        <v>Placa de sinalização viária octogonal ; L=25 cm, com suporte de aço galvanizado D = 50 mm e altura = 3m, inclusive base de concreto não estrutural   - PLACA DE PARE</v>
      </c>
      <c r="D47" s="129" t="str">
        <f ca="1">IF(OFFSET(PO!O$12,ROW(D47)-ROW(D$12),0)=0,"",OFFSET(PO!O$12,ROW(D47)-ROW(D$12),0))</f>
        <v>und</v>
      </c>
      <c r="E47" s="165">
        <f ca="1">IF($A47&lt;&gt;"Serviço",0,ROUND(SUMIF($F$9:$P$9,"&lt;&gt;",$F47:$P47),15-13*PO!$X$3))</f>
        <v>3</v>
      </c>
      <c r="F47" s="398">
        <v>1</v>
      </c>
      <c r="G47" s="398">
        <v>1</v>
      </c>
      <c r="H47" s="398">
        <v>1</v>
      </c>
      <c r="I47" s="398"/>
      <c r="J47" s="398"/>
      <c r="K47" s="398"/>
      <c r="L47" s="398"/>
      <c r="M47" s="398"/>
      <c r="N47" s="398"/>
      <c r="O47" s="398"/>
      <c r="U47" s="215"/>
    </row>
    <row r="48" spans="1:21" s="4" customFormat="1" ht="39.6">
      <c r="A48" s="128" t="str">
        <f ca="1">OFFSET(PO!J$12,ROW(A48)-ROW($A$12),0)</f>
        <v>Serviço</v>
      </c>
      <c r="B48" s="130" t="str">
        <f ca="1">IF($A48=0,"",OFFSET(PO!K$12,ROW(B48)-ROW(B$12),0))</f>
        <v>1.5.14.</v>
      </c>
      <c r="C48" s="127" t="str">
        <f ca="1">IF(OFFSET(PO!N$12,ROW(C48)-ROW(C$12),0)=0,"",OFFSET(PO!N$12,ROW(C48)-ROW(C$12),0))</f>
        <v>Placa de identificação de rua (2 placas 45 cm x 20 cm), com suporte de aço galvanizado D = 50 mm e altura = 3 m; inclusive base de concreto - PLACA DE RUA</v>
      </c>
      <c r="D48" s="129" t="str">
        <f ca="1">IF(OFFSET(PO!O$12,ROW(D48)-ROW(D$12),0)=0,"",OFFSET(PO!O$12,ROW(D48)-ROW(D$12),0))</f>
        <v>und</v>
      </c>
      <c r="E48" s="165">
        <f ca="1">IF($A48&lt;&gt;"Serviço",0,ROUND(SUMIF($F$9:$P$9,"&lt;&gt;",$F48:$P48),15-13*PO!$X$3))</f>
        <v>4</v>
      </c>
      <c r="F48" s="398">
        <v>1</v>
      </c>
      <c r="G48" s="398">
        <v>1</v>
      </c>
      <c r="H48" s="398">
        <v>2</v>
      </c>
      <c r="I48" s="398"/>
      <c r="J48" s="398"/>
      <c r="K48" s="398"/>
      <c r="L48" s="398"/>
      <c r="M48" s="398"/>
      <c r="N48" s="398"/>
      <c r="O48" s="398"/>
      <c r="U48" s="215"/>
    </row>
    <row r="49" spans="1:21" s="4" customFormat="1" ht="26.4">
      <c r="A49" s="128" t="str">
        <f ca="1">OFFSET(PO!J$12,ROW(A49)-ROW($A$12),0)</f>
        <v>Serviço</v>
      </c>
      <c r="B49" s="130" t="str">
        <f ca="1">IF($A49=0,"",OFFSET(PO!K$12,ROW(B49)-ROW(B$12),0))</f>
        <v>1.5.15.</v>
      </c>
      <c r="C49" s="127" t="str">
        <f ca="1">IF(OFFSET(PO!N$12,ROW(C49)-ROW(C$12),0)=0,"",OFFSET(PO!N$12,ROW(C49)-ROW(C$12),0))</f>
        <v>Placa de sinalização em chapa de aço n. 16 pintura com pintura refletiva - PLACA INDICATIVA DE ESTACIONAMENTO PARA IDOSOS</v>
      </c>
      <c r="D49" s="129" t="str">
        <f ca="1">IF(OFFSET(PO!O$12,ROW(D49)-ROW(D$12),0)=0,"",OFFSET(PO!O$12,ROW(D49)-ROW(D$12),0))</f>
        <v>m²</v>
      </c>
      <c r="E49" s="165">
        <f ca="1">IF($A49&lt;&gt;"Serviço",0,ROUND(SUMIF($F$9:$P$9,"&lt;&gt;",$F49:$P49),15-13*PO!$X$3))</f>
        <v>1.92</v>
      </c>
      <c r="F49" s="398">
        <v>0.48</v>
      </c>
      <c r="G49" s="398">
        <v>0.48</v>
      </c>
      <c r="H49" s="398">
        <v>0.48</v>
      </c>
      <c r="I49" s="398">
        <v>0.48</v>
      </c>
      <c r="J49" s="398"/>
      <c r="K49" s="398"/>
      <c r="L49" s="398"/>
      <c r="M49" s="398"/>
      <c r="N49" s="398"/>
      <c r="O49" s="398"/>
      <c r="U49" s="215"/>
    </row>
    <row r="50" spans="1:21" s="4" customFormat="1" ht="26.4">
      <c r="A50" s="128" t="str">
        <f ca="1">OFFSET(PO!J$12,ROW(A50)-ROW($A$12),0)</f>
        <v>Serviço</v>
      </c>
      <c r="B50" s="130" t="str">
        <f ca="1">IF($A50=0,"",OFFSET(PO!K$12,ROW(B50)-ROW(B$12),0))</f>
        <v>1.5.16.</v>
      </c>
      <c r="C50" s="127" t="str">
        <f ca="1">IF(OFFSET(PO!N$12,ROW(C50)-ROW(C$12),0)=0,"",OFFSET(PO!N$12,ROW(C50)-ROW(C$12),0))</f>
        <v>Placa de sinalização em chapa de aço n. 16 pintura com pintura refletiva - PLACA INDICATIVA DE ESTACIONAMENTO PARA IDOSOS</v>
      </c>
      <c r="D50" s="129" t="str">
        <f ca="1">IF(OFFSET(PO!O$12,ROW(D50)-ROW(D$12),0)=0,"",OFFSET(PO!O$12,ROW(D50)-ROW(D$12),0))</f>
        <v>m²</v>
      </c>
      <c r="E50" s="165">
        <f ca="1">IF($A50&lt;&gt;"Serviço",0,ROUND(SUMIF($F$9:$P$9,"&lt;&gt;",$F50:$P50),15-13*PO!$X$3))</f>
        <v>1.92</v>
      </c>
      <c r="F50" s="398">
        <v>0.48</v>
      </c>
      <c r="G50" s="398">
        <v>0.48</v>
      </c>
      <c r="H50" s="398">
        <v>0.48</v>
      </c>
      <c r="I50" s="398">
        <v>0.48</v>
      </c>
      <c r="J50" s="398"/>
      <c r="K50" s="398"/>
      <c r="L50" s="398"/>
      <c r="M50" s="398"/>
      <c r="N50" s="398"/>
      <c r="O50" s="398"/>
      <c r="U50" s="215"/>
    </row>
    <row r="51" spans="1:21" s="4" customFormat="1" ht="12.75">
      <c r="A51" s="128" t="str">
        <f ca="1">OFFSET(PO!J$12,ROW(A51)-ROW($A$12),0)</f>
        <v>Nível 2</v>
      </c>
      <c r="B51" s="130" t="str">
        <f ca="1">IF($A51=0,"",OFFSET(PO!K$12,ROW(B51)-ROW(B$12),0))</f>
        <v>1.6.</v>
      </c>
      <c r="C51" s="127" t="str">
        <f ca="1">IF(OFFSET(PO!N$12,ROW(C51)-ROW(C$12),0)=0,"",OFFSET(PO!N$12,ROW(C51)-ROW(C$12),0))</f>
        <v>PINTURA DE SINALIZAÇÃO</v>
      </c>
      <c r="D51" s="129" t="str">
        <f ca="1">IF(OFFSET(PO!O$12,ROW(D51)-ROW(D$12),0)=0,"",OFFSET(PO!O$12,ROW(D51)-ROW(D$12),0))</f>
        <v/>
      </c>
      <c r="E51" s="165">
        <f ca="1">IF($A51&lt;&gt;"Serviço",0,ROUND(SUMIF($F$9:$P$9,"&lt;&gt;",$F51:$P51),15-13*PO!$X$3))</f>
        <v>0</v>
      </c>
      <c r="F51" s="398"/>
      <c r="G51" s="398"/>
      <c r="H51" s="398"/>
      <c r="I51" s="398"/>
      <c r="J51" s="398"/>
      <c r="K51" s="398"/>
      <c r="L51" s="398"/>
      <c r="M51" s="398"/>
      <c r="N51" s="398"/>
      <c r="O51" s="398"/>
      <c r="U51" s="215"/>
    </row>
    <row r="52" spans="1:21" s="4" customFormat="1" ht="26.4">
      <c r="A52" s="128" t="str">
        <f ca="1">OFFSET(PO!J$12,ROW(A52)-ROW($A$12),0)</f>
        <v>Serviço</v>
      </c>
      <c r="B52" s="130" t="str">
        <f ca="1">IF($A52=0,"",OFFSET(PO!K$12,ROW(B52)-ROW(B$12),0))</f>
        <v>1.6.1.</v>
      </c>
      <c r="C52" s="127" t="str">
        <f ca="1">IF(OFFSET(PO!N$12,ROW(C52)-ROW(C$12),0)=0,"",OFFSET(PO!N$12,ROW(C52)-ROW(C$12),0))</f>
        <v>Sinalização horizontal com tinta retrorefletiva a base de resina acrílica com microesferas de vidro - TODAS AS FAIXAS</v>
      </c>
      <c r="D52" s="129" t="str">
        <f ca="1">IF(OFFSET(PO!O$12,ROW(D52)-ROW(D$12),0)=0,"",OFFSET(PO!O$12,ROW(D52)-ROW(D$12),0))</f>
        <v>m²</v>
      </c>
      <c r="E52" s="165">
        <f ca="1">IF($A52&lt;&gt;"Serviço",0,ROUND(SUMIF($F$9:$P$9,"&lt;&gt;",$F52:$P52),15-13*PO!$X$3))</f>
        <v>169.05</v>
      </c>
      <c r="F52" s="398">
        <v>64.22</v>
      </c>
      <c r="G52" s="398">
        <v>27.41</v>
      </c>
      <c r="H52" s="398">
        <v>43.21</v>
      </c>
      <c r="I52" s="398">
        <v>34.21</v>
      </c>
      <c r="J52" s="398"/>
      <c r="K52" s="398"/>
      <c r="L52" s="398"/>
      <c r="M52" s="398"/>
      <c r="N52" s="398"/>
      <c r="O52" s="398"/>
      <c r="U52" s="215"/>
    </row>
    <row r="53" spans="1:21" s="4" customFormat="1" ht="12.75">
      <c r="A53" s="128" t="str">
        <f ca="1">OFFSET(PO!J$12,ROW(A53)-ROW($A$12),0)</f>
        <v>Nível 2</v>
      </c>
      <c r="B53" s="130" t="str">
        <f ca="1">IF($A53=0,"",OFFSET(PO!K$12,ROW(B53)-ROW(B$12),0))</f>
        <v>1.7.</v>
      </c>
      <c r="C53" s="127" t="str">
        <f ca="1">IF(OFFSET(PO!N$12,ROW(C53)-ROW(C$12),0)=0,"",OFFSET(PO!N$12,ROW(C53)-ROW(C$12),0))</f>
        <v>ENSAIOS TÉCNICOS</v>
      </c>
      <c r="D53" s="129" t="str">
        <f ca="1">IF(OFFSET(PO!O$12,ROW(D53)-ROW(D$12),0)=0,"",OFFSET(PO!O$12,ROW(D53)-ROW(D$12),0))</f>
        <v/>
      </c>
      <c r="E53" s="165">
        <f ca="1">IF($A53&lt;&gt;"Serviço",0,ROUND(SUMIF($F$9:$P$9,"&lt;&gt;",$F53:$P53),15-13*PO!$X$3))</f>
        <v>0</v>
      </c>
      <c r="F53" s="398"/>
      <c r="G53" s="398"/>
      <c r="H53" s="398"/>
      <c r="I53" s="398"/>
      <c r="J53" s="398"/>
      <c r="K53" s="398"/>
      <c r="L53" s="398"/>
      <c r="M53" s="398"/>
      <c r="N53" s="398"/>
      <c r="O53" s="398"/>
      <c r="U53" s="215"/>
    </row>
    <row r="54" spans="1:21" s="4" customFormat="1" ht="12.75">
      <c r="A54" s="128" t="str">
        <f ca="1">OFFSET(PO!J$12,ROW(A54)-ROW($A$12),0)</f>
        <v>Serviço</v>
      </c>
      <c r="B54" s="130" t="str">
        <f ca="1">IF($A54=0,"",OFFSET(PO!K$12,ROW(B54)-ROW(B$12),0))</f>
        <v>1.7.1.</v>
      </c>
      <c r="C54" s="127" t="str">
        <f ca="1">IF(OFFSET(PO!N$12,ROW(C54)-ROW(C$12),0)=0,"",OFFSET(PO!N$12,ROW(C54)-ROW(C$12),0))</f>
        <v>Ensaio de densidade de material betuminoso</v>
      </c>
      <c r="D54" s="129" t="str">
        <f ca="1">IF(OFFSET(PO!O$12,ROW(D54)-ROW(D$12),0)=0,"",OFFSET(PO!O$12,ROW(D54)-ROW(D$12),0))</f>
        <v>und</v>
      </c>
      <c r="E54" s="165">
        <f ca="1">IF($A54&lt;&gt;"Serviço",0,ROUND(SUMIF($F$9:$P$9,"&lt;&gt;",$F54:$P54),15-13*PO!$X$3))</f>
        <v>8</v>
      </c>
      <c r="F54" s="398">
        <v>2</v>
      </c>
      <c r="G54" s="398">
        <v>2</v>
      </c>
      <c r="H54" s="398">
        <v>2</v>
      </c>
      <c r="I54" s="398">
        <v>2</v>
      </c>
      <c r="J54" s="398"/>
      <c r="K54" s="398"/>
      <c r="L54" s="398"/>
      <c r="M54" s="398"/>
      <c r="N54" s="398"/>
      <c r="O54" s="398"/>
      <c r="U54" s="215"/>
    </row>
    <row r="55" spans="1:21" s="4" customFormat="1" ht="12.75">
      <c r="A55" s="128" t="str">
        <f ca="1">OFFSET(PO!J$12,ROW(A55)-ROW($A$12),0)</f>
        <v>Serviço</v>
      </c>
      <c r="B55" s="130" t="str">
        <f ca="1">IF($A55=0,"",OFFSET(PO!K$12,ROW(B55)-ROW(B$12),0))</f>
        <v>1.7.2.</v>
      </c>
      <c r="C55" s="127" t="str">
        <f ca="1">IF(OFFSET(PO!N$12,ROW(C55)-ROW(C$12),0)=0,"",OFFSET(PO!N$12,ROW(C55)-ROW(C$12),0))</f>
        <v>Ensaio de Grau de compactação da mistura asfáltica</v>
      </c>
      <c r="D55" s="129" t="str">
        <f ca="1">IF(OFFSET(PO!O$12,ROW(D55)-ROW(D$12),0)=0,"",OFFSET(PO!O$12,ROW(D55)-ROW(D$12),0))</f>
        <v>und</v>
      </c>
      <c r="E55" s="165">
        <f ca="1">IF($A55&lt;&gt;"Serviço",0,ROUND(SUMIF($F$9:$P$9,"&lt;&gt;",$F55:$P55),15-13*PO!$X$3))</f>
        <v>8</v>
      </c>
      <c r="F55" s="398">
        <v>2</v>
      </c>
      <c r="G55" s="398">
        <v>2</v>
      </c>
      <c r="H55" s="398">
        <v>2</v>
      </c>
      <c r="I55" s="398">
        <v>2</v>
      </c>
      <c r="J55" s="398"/>
      <c r="K55" s="398"/>
      <c r="L55" s="398"/>
      <c r="M55" s="398"/>
      <c r="N55" s="398"/>
      <c r="O55" s="398"/>
      <c r="U55" s="215"/>
    </row>
    <row r="56" spans="1:21" s="4" customFormat="1" ht="12.75">
      <c r="A56" s="128" t="str">
        <f ca="1">OFFSET(PO!J$12,ROW(A56)-ROW($A$12),0)</f>
        <v>Serviço</v>
      </c>
      <c r="B56" s="130" t="str">
        <f ca="1">IF($A56=0,"",OFFSET(PO!K$12,ROW(B56)-ROW(B$12),0))</f>
        <v>1.7.3.</v>
      </c>
      <c r="C56" s="127" t="str">
        <f ca="1">IF(OFFSET(PO!N$12,ROW(C56)-ROW(C$12),0)=0,"",OFFSET(PO!N$12,ROW(C56)-ROW(C$12),0))</f>
        <v>Ensiao de Granuilometria do agregado / Espessura</v>
      </c>
      <c r="D56" s="129" t="str">
        <f ca="1">IF(OFFSET(PO!O$12,ROW(D56)-ROW(D$12),0)=0,"",OFFSET(PO!O$12,ROW(D56)-ROW(D$12),0))</f>
        <v>und</v>
      </c>
      <c r="E56" s="165">
        <f ca="1">IF($A56&lt;&gt;"Serviço",0,ROUND(SUMIF($F$9:$P$9,"&lt;&gt;",$F56:$P56),15-13*PO!$X$3))</f>
        <v>8</v>
      </c>
      <c r="F56" s="398">
        <v>2</v>
      </c>
      <c r="G56" s="398">
        <v>2</v>
      </c>
      <c r="H56" s="398">
        <v>2</v>
      </c>
      <c r="I56" s="398">
        <v>2</v>
      </c>
      <c r="J56" s="398"/>
      <c r="K56" s="398"/>
      <c r="L56" s="398"/>
      <c r="M56" s="398"/>
      <c r="N56" s="398"/>
      <c r="O56" s="398"/>
      <c r="U56" s="215"/>
    </row>
    <row r="57" spans="1:21" s="4" customFormat="1" ht="12.75">
      <c r="A57" s="128" t="str">
        <f ca="1">OFFSET(PO!J$12,ROW(A57)-ROW($A$12),0)</f>
        <v>Serviço</v>
      </c>
      <c r="B57" s="130" t="str">
        <f ca="1">IF($A57=0,"",OFFSET(PO!K$12,ROW(B57)-ROW(B$12),0))</f>
        <v>1.7.4.</v>
      </c>
      <c r="C57" s="127" t="str">
        <f ca="1">IF(OFFSET(PO!N$12,ROW(C57)-ROW(C$12),0)=0,"",OFFSET(PO!N$12,ROW(C57)-ROW(C$12),0))</f>
        <v>Ensaio de percentagem de betume - Misturas Betuminosas</v>
      </c>
      <c r="D57" s="129" t="str">
        <f ca="1">IF(OFFSET(PO!O$12,ROW(D57)-ROW(D$12),0)=0,"",OFFSET(PO!O$12,ROW(D57)-ROW(D$12),0))</f>
        <v>und</v>
      </c>
      <c r="E57" s="165">
        <f ca="1">IF($A57&lt;&gt;"Serviço",0,ROUND(SUMIF($F$9:$P$9,"&lt;&gt;",$F57:$P57),15-13*PO!$X$3))</f>
        <v>8</v>
      </c>
      <c r="F57" s="398">
        <v>2</v>
      </c>
      <c r="G57" s="398">
        <v>2</v>
      </c>
      <c r="H57" s="398">
        <v>2</v>
      </c>
      <c r="I57" s="398">
        <v>2</v>
      </c>
      <c r="J57" s="398"/>
      <c r="K57" s="398"/>
      <c r="L57" s="398"/>
      <c r="M57" s="398"/>
      <c r="N57" s="398"/>
      <c r="O57" s="398"/>
      <c r="U57" s="215"/>
    </row>
    <row r="58" spans="1:21" s="4" customFormat="1" ht="12.75">
      <c r="A58" s="128" t="str">
        <f ca="1">OFFSET(PO!J$12,ROW(A58)-ROW($A$12),0)</f>
        <v>Nível 2</v>
      </c>
      <c r="B58" s="130" t="str">
        <f ca="1">IF($A58=0,"",OFFSET(PO!K$12,ROW(B58)-ROW(B$12),0))</f>
        <v>1.8.</v>
      </c>
      <c r="C58" s="127" t="str">
        <f ca="1">IF(OFFSET(PO!N$12,ROW(C58)-ROW(C$12),0)=0,"",OFFSET(PO!N$12,ROW(C58)-ROW(C$12),0))</f>
        <v>MEIO FIO</v>
      </c>
      <c r="D58" s="129" t="str">
        <f ca="1">IF(OFFSET(PO!O$12,ROW(D58)-ROW(D$12),0)=0,"",OFFSET(PO!O$12,ROW(D58)-ROW(D$12),0))</f>
        <v/>
      </c>
      <c r="E58" s="165">
        <f ca="1">IF($A58&lt;&gt;"Serviço",0,ROUND(SUMIF($F$9:$P$9,"&lt;&gt;",$F58:$P58),15-13*PO!$X$3))</f>
        <v>0</v>
      </c>
      <c r="F58" s="398"/>
      <c r="G58" s="398"/>
      <c r="H58" s="398"/>
      <c r="I58" s="398"/>
      <c r="J58" s="398"/>
      <c r="K58" s="398"/>
      <c r="L58" s="398"/>
      <c r="M58" s="398"/>
      <c r="N58" s="398"/>
      <c r="O58" s="398"/>
      <c r="U58" s="215"/>
    </row>
    <row r="59" spans="1:21" s="4" customFormat="1" ht="39.6">
      <c r="A59" s="128" t="str">
        <f ca="1">OFFSET(PO!J$12,ROW(A59)-ROW($A$12),0)</f>
        <v>Serviço</v>
      </c>
      <c r="B59" s="130" t="str">
        <f ca="1">IF($A59=0,"",OFFSET(PO!K$12,ROW(B59)-ROW(B$12),0))</f>
        <v>1.8.1.</v>
      </c>
      <c r="C59" s="127" t="str">
        <f ca="1">IF(OFFSET(PO!N$12,ROW(C59)-ROW(C$12),0)=0,"",OFFSET(PO!N$12,ROW(C59)-ROW(C$12),0))</f>
        <v>Meio Fio de concreto pré-fabricado, dimensões 100x15x13x30 cm (Comprimento x Base Inferior x Base Superior x Altura) para vias urbanas</v>
      </c>
      <c r="D59" s="129" t="str">
        <f ca="1">IF(OFFSET(PO!O$12,ROW(D59)-ROW(D$12),0)=0,"",OFFSET(PO!O$12,ROW(D59)-ROW(D$12),0))</f>
        <v>m</v>
      </c>
      <c r="E59" s="165">
        <f ca="1">IF($A59&lt;&gt;"Serviço",0,ROUND(SUMIF($F$9:$P$9,"&lt;&gt;",$F59:$P59),15-13*PO!$X$3))</f>
        <v>249.5</v>
      </c>
      <c r="F59" s="398">
        <v>166.5</v>
      </c>
      <c r="G59" s="398">
        <v>25</v>
      </c>
      <c r="H59" s="398">
        <v>7</v>
      </c>
      <c r="I59" s="398">
        <v>51</v>
      </c>
      <c r="J59" s="398"/>
      <c r="K59" s="398"/>
      <c r="L59" s="398"/>
      <c r="M59" s="398"/>
      <c r="N59" s="398"/>
      <c r="O59" s="398"/>
      <c r="U59" s="215"/>
    </row>
    <row r="60" spans="1:21" s="4" customFormat="1" ht="12.75">
      <c r="A60" s="83"/>
      <c r="B60" s="83"/>
      <c r="C60" s="83"/>
      <c r="D60" s="83"/>
      <c r="E60" s="83"/>
      <c r="F60" s="83"/>
      <c r="G60" s="83"/>
      <c r="H60" s="83"/>
      <c r="I60" s="83"/>
      <c r="J60" s="83"/>
      <c r="K60" s="83"/>
      <c r="L60" s="83"/>
      <c r="M60" s="83"/>
      <c r="N60" s="83"/>
      <c r="O60" s="83"/>
      <c r="U60" s="83"/>
    </row>
    <row r="61" spans="2:21" s="4" customFormat="1" ht="12.75">
      <c r="B61" s="9"/>
      <c r="C61" s="14"/>
      <c r="D61" s="9"/>
      <c r="E61" s="16"/>
      <c r="F61" s="16"/>
      <c r="G61" s="16"/>
      <c r="H61" s="16"/>
      <c r="I61" s="16"/>
      <c r="J61" s="16"/>
      <c r="K61" s="16"/>
      <c r="L61" s="16"/>
      <c r="M61" s="16"/>
      <c r="N61" s="16"/>
      <c r="O61" s="16"/>
      <c r="U61" s="16"/>
    </row>
    <row r="62" spans="2:21" s="4" customFormat="1" ht="12.75">
      <c r="B62" s="371" t="str">
        <f>PO!$K$71</f>
        <v>Riqueza / SC</v>
      </c>
      <c r="C62" s="371"/>
      <c r="D62" s="9"/>
      <c r="E62" s="16"/>
      <c r="F62" s="16"/>
      <c r="G62" s="16"/>
      <c r="H62" s="16"/>
      <c r="I62" s="16"/>
      <c r="J62" s="16"/>
      <c r="K62" s="16"/>
      <c r="L62" s="16"/>
      <c r="M62" s="16"/>
      <c r="N62" s="16"/>
      <c r="O62" s="16"/>
      <c r="U62" s="16"/>
    </row>
    <row r="63" spans="2:21" s="4" customFormat="1" ht="12.75">
      <c r="B63" s="113" t="s">
        <v>120</v>
      </c>
      <c r="C63" s="14"/>
      <c r="D63" s="9"/>
      <c r="E63" s="16"/>
      <c r="F63" s="16"/>
      <c r="G63" s="16"/>
      <c r="H63" s="16"/>
      <c r="I63" s="16"/>
      <c r="J63" s="16"/>
      <c r="K63" s="16"/>
      <c r="L63" s="16"/>
      <c r="M63" s="16"/>
      <c r="N63" s="16"/>
      <c r="O63" s="16"/>
      <c r="U63" s="16"/>
    </row>
    <row r="64" spans="2:21" s="4" customFormat="1" ht="12.75">
      <c r="B64" s="14"/>
      <c r="C64" s="14"/>
      <c r="D64" s="9"/>
      <c r="E64" s="16"/>
      <c r="F64" s="16"/>
      <c r="G64" s="16"/>
      <c r="H64" s="16"/>
      <c r="I64" s="16"/>
      <c r="J64" s="16"/>
      <c r="K64" s="16"/>
      <c r="L64" s="16"/>
      <c r="M64" s="16"/>
      <c r="N64" s="16"/>
      <c r="O64" s="16"/>
      <c r="U64" s="16"/>
    </row>
    <row r="65" spans="2:21" s="4" customFormat="1" ht="12.75">
      <c r="B65" s="372">
        <f ca="1">PO!$K$74</f>
        <v>43061</v>
      </c>
      <c r="C65" s="372"/>
      <c r="D65" s="9"/>
      <c r="E65" s="16"/>
      <c r="F65" s="16"/>
      <c r="G65" s="16"/>
      <c r="H65" s="16"/>
      <c r="I65" s="16"/>
      <c r="J65" s="16"/>
      <c r="K65" s="16"/>
      <c r="L65" s="16"/>
      <c r="M65" s="16"/>
      <c r="N65" s="16"/>
      <c r="O65" s="16"/>
      <c r="U65" s="16"/>
    </row>
    <row r="66" spans="2:21" s="4" customFormat="1" ht="12.75">
      <c r="B66" s="142" t="s">
        <v>121</v>
      </c>
      <c r="C66" s="143"/>
      <c r="D66" s="9"/>
      <c r="E66" s="16"/>
      <c r="F66" s="16"/>
      <c r="G66" s="16"/>
      <c r="H66" s="16"/>
      <c r="I66" s="16"/>
      <c r="J66" s="16"/>
      <c r="K66" s="16"/>
      <c r="L66" s="16"/>
      <c r="M66" s="16"/>
      <c r="N66" s="16"/>
      <c r="O66" s="16"/>
      <c r="U66" s="16"/>
    </row>
  </sheetData>
  <sheetProtection algorithmName="SHA-512" hashValue="UD+0zQJvVtWXbvutolZrXpMou4GwhqlWiiP5rEXQiwzvwrLVhUDufvQ1tABpVzOWWuz00v82vVLD9BthTOPgnQ==" saltValue="ews15iHUviHFPEePeKmZWw==" spinCount="100000" sheet="1" objects="1" scenarios="1"/>
  <mergeCells count="2">
    <mergeCell ref="B62:C62"/>
    <mergeCell ref="B65:C65"/>
  </mergeCells>
  <conditionalFormatting sqref="D11:E11 D13:E59">
    <cfRule type="expression" priority="686" dxfId="30" stopIfTrue="1">
      <formula>$A11="Meta"</formula>
    </cfRule>
    <cfRule type="expression" priority="687" dxfId="41" stopIfTrue="1">
      <formula>$A11&lt;&gt;"Serviço"</formula>
    </cfRule>
  </conditionalFormatting>
  <conditionalFormatting sqref="C11 C13:C59">
    <cfRule type="expression" priority="688" dxfId="38" stopIfTrue="1">
      <formula>$A11="Meta"</formula>
    </cfRule>
    <cfRule type="expression" priority="689" dxfId="37" stopIfTrue="1">
      <formula>$A11&lt;&gt;"Serviço"</formula>
    </cfRule>
  </conditionalFormatting>
  <conditionalFormatting sqref="A11:B11 A13:B59">
    <cfRule type="expression" priority="690" dxfId="38" stopIfTrue="1">
      <formula>$A11="Meta"</formula>
    </cfRule>
    <cfRule type="expression" priority="691" dxfId="37" stopIfTrue="1">
      <formula>LEFT($A11,5)="Nível"</formula>
    </cfRule>
    <cfRule type="expression" priority="692" dxfId="27" stopIfTrue="1">
      <formula>$A11=0</formula>
    </cfRule>
  </conditionalFormatting>
  <conditionalFormatting sqref="U11 U13:U59 F13:O59">
    <cfRule type="expression" priority="702" dxfId="30" stopIfTrue="1">
      <formula>$A11="Meta"</formula>
    </cfRule>
    <cfRule type="expression" priority="703" dxfId="27" stopIfTrue="1">
      <formula>OR(F$9=0,$A11&lt;&gt;"Serviço")</formula>
    </cfRule>
    <cfRule type="expression" priority="704" dxfId="26" stopIfTrue="1">
      <formula>TipoOrçamento="Licitado"</formula>
    </cfRule>
  </conditionalFormatting>
  <conditionalFormatting sqref="U9">
    <cfRule type="expression" priority="124" dxfId="27" stopIfTrue="1">
      <formula>AND(T9=0,U9=0)</formula>
    </cfRule>
    <cfRule type="expression" priority="125" dxfId="26" stopIfTrue="1">
      <formula>TipoOrçamento="Licitado"</formula>
    </cfRule>
  </conditionalFormatting>
  <conditionalFormatting sqref="F11:O11">
    <cfRule type="expression" priority="84" dxfId="30" stopIfTrue="1">
      <formula>$A11="Meta"</formula>
    </cfRule>
    <cfRule type="expression" priority="85" dxfId="27" stopIfTrue="1">
      <formula>OR(F$9=0,$A11&lt;&gt;"Serviço")</formula>
    </cfRule>
    <cfRule type="expression" priority="86" dxfId="26" stopIfTrue="1">
      <formula>TipoOrçamento="Licitado"</formula>
    </cfRule>
  </conditionalFormatting>
  <conditionalFormatting sqref="F9:O9">
    <cfRule type="expression" priority="82" dxfId="27" stopIfTrue="1">
      <formula>AND(E9=0,F9=0)</formula>
    </cfRule>
    <cfRule type="expression" priority="83" dxfId="26" stopIfTrue="1">
      <formula>TipoOrçamento="Licitado"</formula>
    </cfRule>
  </conditionalFormatting>
  <dataValidations count="1">
    <dataValidation type="decimal" operator="greaterThanOrEqual" allowBlank="1" showInputMessage="1" showErrorMessage="1" error="Digite apenas números._x000a__x000a_preferencialmente com 02 casas de precisão." sqref="U11 F11:O11 U14:U59 F14:O59">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v007   micro&amp;R&amp;P</oddFooter>
  </headerFooter>
  <ignoredErrors>
    <ignoredError sqref="B65 B62"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rgb="FFFFFF00"/>
    <outlinePr summaryBelow="0"/>
  </sheetPr>
  <dimension ref="A1:AC55"/>
  <sheetViews>
    <sheetView showGridLines="0" zoomScaleSheetLayoutView="100" workbookViewId="0" topLeftCell="L1">
      <selection activeCell="S34" sqref="S34"/>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9"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9"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9"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9"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176</v>
      </c>
      <c r="B8" s="1"/>
      <c r="C8" s="1"/>
      <c r="D8" s="1"/>
      <c r="E8" s="1"/>
      <c r="F8" s="1"/>
      <c r="G8" s="1"/>
      <c r="H8" s="1"/>
      <c r="I8" s="1"/>
      <c r="J8" s="1"/>
      <c r="K8" s="1"/>
      <c r="L8" s="373" t="str">
        <f ca="1">IF(MAX($A$14:$A$46)&lt;&gt;MAX(PO!$V$12:$V$60),"ERRO: CRONOGRAMA DESATUALIZADO",IF(OR(COUNTIF($O$16:$X$16,"&gt;1")&gt;0,OFFSET($X$17,0,-1)&lt;&gt;$N$14),"ERRO: CRONOGRAMA NÃO FECHA EM 100%",""))</f>
        <v>ERRO: CRONOGRAMA NÃO FECHA EM 100%</v>
      </c>
      <c r="M8" s="373"/>
      <c r="N8" s="160" t="str">
        <f>IF(TipoOrçamento="REPROGRAMADOAC","Qtde de Medições realizadas","")</f>
        <v/>
      </c>
      <c r="O8" s="178"/>
      <c r="P8" s="179"/>
      <c r="Q8" s="1"/>
      <c r="R8" s="1"/>
      <c r="S8" s="1"/>
      <c r="T8" s="1"/>
      <c r="U8" s="1"/>
      <c r="V8" s="1"/>
      <c r="W8" s="1"/>
      <c r="X8" s="1"/>
      <c r="AC8" s="1"/>
    </row>
    <row r="9" spans="1:29" s="41" customFormat="1" ht="14.1"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01/09/17</v>
      </c>
      <c r="P10" s="219" t="str">
        <f ca="1">IF(AND(TipoOrçamento="REPROGRAMADOAC",$N$9&gt;0,N10="Valores Totais (R$)"),"Parcela "&amp;$N$9&amp;" Executado","Parcela "&amp;P$9&amp;CHAR(10)&amp;TEXT(DATE(YEAR(DADOS!$A$48),MONTH(DADOS!$A$48)+P$9-IF(AND(TipoOrçamento="REPROGRAMADOAC",$N$9&gt;0),$N$9,0),1),"mmm/aa"))</f>
        <v>Parcela 1
out/17</v>
      </c>
      <c r="Q10" s="210" t="str">
        <f ca="1">IF(AND(TipoOrçamento="REPROGRAMADOAC",$N$9&gt;0,O10="Valores Totais (R$)"),"Parcela "&amp;$N$9&amp;" Executado","Parcela "&amp;Q$9&amp;CHAR(10)&amp;TEXT(DATE(YEAR(DADOS!$A$48),MONTH(DADOS!$A$48)+Q$9-IF(AND(TipoOrçamento="REPROGRAMADOAC",$N$9&gt;0),$N$9,0),1),"mmm/aa"))</f>
        <v>Parcela 2
nov/17</v>
      </c>
      <c r="R10" s="210" t="str">
        <f ca="1">IF(AND(TipoOrçamento="REPROGRAMADOAC",$N$9&gt;0,P10="Valores Totais (R$)"),"Parcela "&amp;$N$9&amp;" Executado","Parcela "&amp;R$9&amp;CHAR(10)&amp;TEXT(DATE(YEAR(DADOS!$A$48),MONTH(DADOS!$A$48)+R$9-IF(AND(TipoOrçamento="REPROGRAMADOAC",$N$9&gt;0),$N$9,0),1),"mmm/aa"))</f>
        <v>Parcela 3
dez/17</v>
      </c>
      <c r="S10" s="210" t="str">
        <f ca="1">IF(AND(TipoOrçamento="REPROGRAMADOAC",$N$9&gt;0,Q10="Valores Totais (R$)"),"Parcela "&amp;$N$9&amp;" Executado","Parcela "&amp;S$9&amp;CHAR(10)&amp;TEXT(DATE(YEAR(DADOS!$A$48),MONTH(DADOS!$A$48)+S$9-IF(AND(TipoOrçamento="REPROGRAMADOAC",$N$9&gt;0),$N$9,0),1),"mmm/aa"))</f>
        <v>Parcela 4
jan/18</v>
      </c>
      <c r="T10" s="210" t="str">
        <f ca="1">IF(AND(TipoOrçamento="REPROGRAMADOAC",$N$9&gt;0,R10="Valores Totais (R$)"),"Parcela "&amp;$N$9&amp;" Executado","Parcela "&amp;T$9&amp;CHAR(10)&amp;TEXT(DATE(YEAR(DADOS!$A$48),MONTH(DADOS!$A$48)+T$9-IF(AND(TipoOrçamento="REPROGRAMADOAC",$N$9&gt;0),$N$9,0),1),"mmm/aa"))</f>
        <v>Parcela 5
fev/18</v>
      </c>
      <c r="U10" s="210" t="str">
        <f ca="1">IF(AND(TipoOrçamento="REPROGRAMADOAC",$N$9&gt;0,S10="Valores Totais (R$)"),"Parcela "&amp;$N$9&amp;" Executado","Parcela "&amp;U$9&amp;CHAR(10)&amp;TEXT(DATE(YEAR(DADOS!$A$48),MONTH(DADOS!$A$48)+U$9-IF(AND(TipoOrçamento="REPROGRAMADOAC",$N$9&gt;0),$N$9,0),1),"mmm/aa"))</f>
        <v>Parcela 6
mar/18</v>
      </c>
      <c r="V10" s="210" t="str">
        <f ca="1">IF(AND(TipoOrçamento="REPROGRAMADOAC",$N$9&gt;0,T10="Valores Totais (R$)"),"Parcela "&amp;$N$9&amp;" Executado","Parcela "&amp;V$9&amp;CHAR(10)&amp;TEXT(DATE(YEAR(DADOS!$A$48),MONTH(DADOS!$A$48)+V$9-IF(AND(TipoOrçamento="REPROGRAMADOAC",$N$9&gt;0),$N$9,0),1),"mmm/aa"))</f>
        <v>Parcela 7
abr/18</v>
      </c>
      <c r="W10" s="222" t="str">
        <f ca="1">IF(AND(TipoOrçamento="REPROGRAMADOAC",$N$9&gt;0,U10="Valores Totais (R$)"),"Parcela "&amp;$N$9&amp;" Executado","Parcela "&amp;W$9&amp;CHAR(10)&amp;TEXT(DATE(YEAR(DADOS!$A$48),MONTH(DADOS!$A$48)+W$9-IF(AND(TipoOrçamento="REPROGRAMADOAC",$N$9&gt;0),$N$9,0),1),"mmm/aa"))</f>
        <v>Parcela 8
mai/18</v>
      </c>
      <c r="X10" s="195"/>
      <c r="AC10" s="210" t="str">
        <f ca="1">IF(AND(TipoOrçamento="REPROGRAMADOAC",$N$9&gt;0,AA10="Valores Totais (R$)"),"Parcela "&amp;$N$9&amp;" Executado","Parcela "&amp;AC$9&amp;CHAR(10)&amp;TEXT(DATE(YEAR(DADOS!$A$48),MONTH(DADOS!$A$48)+AC$9-IF(AND(TipoOrçamento="REPROGRAMADOAC",$N$9&gt;0),$N$9,0),1),"mmm/aa"))</f>
        <v>Parcela 1
out/17</v>
      </c>
    </row>
    <row r="11" spans="1:29" ht="14.25" customHeight="1" hidden="1">
      <c r="A11" s="82"/>
      <c r="B11" s="82"/>
      <c r="C11" s="82"/>
      <c r="D11" s="82"/>
      <c r="E11" s="82"/>
      <c r="F11" s="82"/>
      <c r="G11" s="82"/>
      <c r="H11" s="82"/>
      <c r="I11" s="82"/>
      <c r="J11" s="82"/>
      <c r="K11" s="82"/>
      <c r="L11" s="382" t="e">
        <f ca="1">INDEX(PO!K$12:K$60,MATCH($A13,PO!$V$12:$V$60,0))</f>
        <v>#VALUE!</v>
      </c>
      <c r="M11" s="376" t="e">
        <f ca="1">INDEX(PO!N$12:N$60,MATCH($A13,PO!$V$12:$V$60,0))</f>
        <v>#VALUE!</v>
      </c>
      <c r="N11" s="374" t="e">
        <f ca="1">IF(ROUND(K13,2)=0,K13,ROUND(K13,2))</f>
        <v>#VALUE!</v>
      </c>
      <c r="O11" s="220" t="s">
        <v>143</v>
      </c>
      <c r="P11" s="226" t="e">
        <f ca="1">IF($B13,0,P12-IF(ISNUMBER(O12),O12,0))</f>
        <v>#VALUE!</v>
      </c>
      <c r="Q11" s="227" t="e">
        <f aca="true" t="shared" si="1" ref="Q11:W11">IF($B13,0,Q12-IF(ISNUMBER(P12),P12,0))</f>
        <v>#VALUE!</v>
      </c>
      <c r="R11" s="227" t="e">
        <f ca="1" t="shared" si="1"/>
        <v>#VALUE!</v>
      </c>
      <c r="S11" s="227" t="e">
        <f ca="1" t="shared" si="1"/>
        <v>#VALUE!</v>
      </c>
      <c r="T11" s="227" t="e">
        <f ca="1" t="shared" si="1"/>
        <v>#VALUE!</v>
      </c>
      <c r="U11" s="227" t="e">
        <f ca="1" t="shared" si="1"/>
        <v>#VALUE!</v>
      </c>
      <c r="V11" s="227" t="e">
        <f ca="1" t="shared" si="1"/>
        <v>#VALUE!</v>
      </c>
      <c r="W11" s="228" t="e">
        <f ca="1" t="shared" si="1"/>
        <v>#VALUE!</v>
      </c>
      <c r="X11" s="196"/>
      <c r="AC11" s="221" t="e">
        <f ca="1">IF($B13,0,AC12-IF(ISNUMBER(AB12),AB12,0))</f>
        <v>#VALUE!</v>
      </c>
    </row>
    <row r="12" spans="1:29" ht="13.8" hidden="1">
      <c r="A12" s="184"/>
      <c r="B12" s="184"/>
      <c r="C12" s="184"/>
      <c r="D12" s="184"/>
      <c r="E12" s="184"/>
      <c r="F12" s="184"/>
      <c r="G12" s="184"/>
      <c r="H12" s="184"/>
      <c r="I12" s="184"/>
      <c r="J12" s="184"/>
      <c r="K12" s="184"/>
      <c r="L12" s="383"/>
      <c r="M12" s="377"/>
      <c r="N12" s="375"/>
      <c r="O12" s="170" t="s">
        <v>145</v>
      </c>
      <c r="P12" s="198" t="e">
        <f ca="1">MIN(IF($B13,P11+IF(ISNUMBER(O12),O12,0),P13/$N11),1)</f>
        <v>#VALUE!</v>
      </c>
      <c r="Q12" s="168" t="e">
        <f aca="true" t="shared" si="2" ref="Q12:W12">MIN(IF($B13,Q11+IF(ISNUMBER(P12),P12,0),Q13/$N11),1)</f>
        <v>#VALUE!</v>
      </c>
      <c r="R12" s="168" t="e">
        <f ca="1" t="shared" si="2"/>
        <v>#VALUE!</v>
      </c>
      <c r="S12" s="168" t="e">
        <f ca="1" t="shared" si="2"/>
        <v>#VALUE!</v>
      </c>
      <c r="T12" s="168" t="e">
        <f ca="1" t="shared" si="2"/>
        <v>#VALUE!</v>
      </c>
      <c r="U12" s="168" t="e">
        <f ca="1" t="shared" si="2"/>
        <v>#VALUE!</v>
      </c>
      <c r="V12" s="168" t="e">
        <f ca="1" t="shared" si="2"/>
        <v>#VALUE!</v>
      </c>
      <c r="W12" s="168" t="e">
        <f ca="1" t="shared" si="2"/>
        <v>#VALUE!</v>
      </c>
      <c r="X12" s="196"/>
      <c r="AC12" s="168" t="e">
        <f ca="1">MIN(IF($B13,AC11+IF(ISNUMBER(AB12),AB12,0),AC13/$N11),1)</f>
        <v>#VALUE!</v>
      </c>
    </row>
    <row r="13" spans="1:29" ht="13.8" hidden="1">
      <c r="A13" s="184" t="e">
        <f ca="1">OFFSET(A13,-CFF.NumLinha,0)+1</f>
        <v>#VALUE!</v>
      </c>
      <c r="B13" s="184" t="e">
        <f ca="1">$C13&gt;=OFFSET($C13,CFF.NumLinha,0)</f>
        <v>#VALUE!</v>
      </c>
      <c r="C13" s="184" t="e">
        <f ca="1">INDEX(PO!A$12:A$60,MATCH($A13,PO!$V$12:$V$60,0))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MATCH(0,OFFSET($D13,1,$C13,ROW($A$45)-ROW($A13)),0)</f>
        <v>#VALUE!</v>
      </c>
      <c r="J13" s="184" t="e">
        <f ca="1">MATCH(OFFSET($D13,0,$C13)+1,OFFSET($D13,1,$C13,ROW($A$45)-ROW($A13)),0)</f>
        <v>#VALUE!</v>
      </c>
      <c r="K13" s="185" t="e">
        <f ca="1">ROUND(INDEX(PO!T$12:T$60,MATCH($A13,PO!$V$12:$V$60,0)),2)+10^-12</f>
        <v>#VALUE!</v>
      </c>
      <c r="L13" s="383"/>
      <c r="M13" s="377"/>
      <c r="N13" s="375"/>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5" t="s">
        <v>19</v>
      </c>
      <c r="M14" s="386"/>
      <c r="N14" s="391">
        <f ca="1">IF(PO!$T$12=0,10^-12,PO!$T$12)</f>
        <v>1E-12</v>
      </c>
      <c r="O14" s="167" t="s">
        <v>143</v>
      </c>
      <c r="P14" s="205">
        <f ca="1">ROUND(P15/$N14,4)</f>
        <v>0</v>
      </c>
      <c r="Q14" s="206">
        <f aca="true" t="shared" si="4" ref="Q14:W14">ROUND(Q15/$N14,4)</f>
        <v>0</v>
      </c>
      <c r="R14" s="206">
        <f ca="1" t="shared" si="4"/>
        <v>0</v>
      </c>
      <c r="S14" s="206">
        <f ca="1" t="shared" si="4"/>
        <v>0</v>
      </c>
      <c r="T14" s="206">
        <f ca="1" t="shared" si="4"/>
        <v>0</v>
      </c>
      <c r="U14" s="206">
        <f ca="1" t="shared" si="4"/>
        <v>0</v>
      </c>
      <c r="V14" s="206">
        <f ca="1" t="shared" si="4"/>
        <v>0</v>
      </c>
      <c r="W14" s="206">
        <f ca="1" t="shared" si="4"/>
        <v>0</v>
      </c>
      <c r="X14" s="171"/>
      <c r="AC14" s="206">
        <f ca="1">ROUND(AC15/$N14,4)</f>
        <v>0</v>
      </c>
    </row>
    <row r="15" spans="1:29" s="44" customFormat="1" ht="12.75" customHeight="1">
      <c r="A15" s="1"/>
      <c r="B15" s="1"/>
      <c r="C15" s="1"/>
      <c r="D15" s="1"/>
      <c r="E15" s="1"/>
      <c r="F15" s="1"/>
      <c r="G15" s="1"/>
      <c r="H15" s="1"/>
      <c r="I15" s="1"/>
      <c r="J15" s="1"/>
      <c r="K15" s="1"/>
      <c r="L15" s="387"/>
      <c r="M15" s="388"/>
      <c r="N15" s="392"/>
      <c r="O15" s="156" t="s">
        <v>144</v>
      </c>
      <c r="P15" s="200">
        <f ca="1">P17-IF(ISNUMBER(O17),O17,0)</f>
        <v>0</v>
      </c>
      <c r="Q15" s="150">
        <f aca="true" t="shared" si="5" ref="Q15:W15">Q17-IF(ISNUMBER(P17),P17,0)</f>
        <v>0</v>
      </c>
      <c r="R15" s="150">
        <f ca="1" t="shared" si="5"/>
        <v>0</v>
      </c>
      <c r="S15" s="150">
        <f ca="1" t="shared" si="5"/>
        <v>0</v>
      </c>
      <c r="T15" s="150">
        <f ca="1" t="shared" si="5"/>
        <v>0</v>
      </c>
      <c r="U15" s="150">
        <f ca="1" t="shared" si="5"/>
        <v>0</v>
      </c>
      <c r="V15" s="150">
        <f ca="1" t="shared" si="5"/>
        <v>0</v>
      </c>
      <c r="W15" s="150">
        <f ca="1" t="shared" si="5"/>
        <v>0</v>
      </c>
      <c r="X15" s="171"/>
      <c r="AC15" s="150">
        <f ca="1">AC17-IF(ISNUMBER(AB17),AB17,0)</f>
        <v>0</v>
      </c>
    </row>
    <row r="16" spans="1:29" s="44" customFormat="1" ht="12.75" customHeight="1">
      <c r="A16" s="1"/>
      <c r="B16" s="1"/>
      <c r="C16" s="1"/>
      <c r="D16" s="1"/>
      <c r="E16" s="1"/>
      <c r="F16" s="1"/>
      <c r="G16" s="1"/>
      <c r="H16" s="1"/>
      <c r="I16" s="1"/>
      <c r="J16" s="1"/>
      <c r="K16" s="1"/>
      <c r="L16" s="387"/>
      <c r="M16" s="388"/>
      <c r="N16" s="392"/>
      <c r="O16" s="157" t="s">
        <v>145</v>
      </c>
      <c r="P16" s="201">
        <f ca="1">ROUND(P17/$N14,4)</f>
        <v>0</v>
      </c>
      <c r="Q16" s="151">
        <f aca="true" t="shared" si="6" ref="Q16:W16">ROUND(Q17/$N14,4)</f>
        <v>0</v>
      </c>
      <c r="R16" s="151">
        <f ca="1" t="shared" si="6"/>
        <v>0</v>
      </c>
      <c r="S16" s="151">
        <f ca="1" t="shared" si="6"/>
        <v>0</v>
      </c>
      <c r="T16" s="151">
        <f ca="1" t="shared" si="6"/>
        <v>0</v>
      </c>
      <c r="U16" s="151">
        <f ca="1" t="shared" si="6"/>
        <v>0</v>
      </c>
      <c r="V16" s="151">
        <f ca="1" t="shared" si="6"/>
        <v>0</v>
      </c>
      <c r="W16" s="151">
        <f ca="1" t="shared" si="6"/>
        <v>0</v>
      </c>
      <c r="X16" s="171"/>
      <c r="AC16" s="151">
        <f ca="1">ROUND(AC17/$N14,4)</f>
        <v>0</v>
      </c>
    </row>
    <row r="17" spans="1:29" s="44" customFormat="1" ht="12.75" customHeight="1">
      <c r="A17" s="114">
        <v>0</v>
      </c>
      <c r="B17" s="1"/>
      <c r="C17" s="1"/>
      <c r="D17" s="114">
        <f>ROW(D$45)-ROW(D18)</f>
        <v>27</v>
      </c>
      <c r="E17" s="1"/>
      <c r="F17" s="1"/>
      <c r="G17" s="1"/>
      <c r="H17" s="1"/>
      <c r="I17" s="1"/>
      <c r="J17" s="1"/>
      <c r="K17" s="1"/>
      <c r="L17" s="389"/>
      <c r="M17" s="390"/>
      <c r="N17" s="393"/>
      <c r="O17" s="158" t="s">
        <v>20</v>
      </c>
      <c r="P17" s="202">
        <f ca="1">SUMIF(OFFSET($C17,1,0):$C$45,1,OFFSET(P17,1,0):P$45)</f>
        <v>0</v>
      </c>
      <c r="Q17" s="152">
        <f ca="1">SUMIF(OFFSET($C17,1,0):$C$45,1,OFFSET(Q17,1,0):Q$45)</f>
        <v>0</v>
      </c>
      <c r="R17" s="152">
        <f ca="1">SUMIF(OFFSET($C17,1,0):$C$45,1,OFFSET(R17,1,0):R$45)</f>
        <v>0</v>
      </c>
      <c r="S17" s="152">
        <f ca="1">SUMIF(OFFSET($C17,1,0):$C$45,1,OFFSET(S17,1,0):S$45)</f>
        <v>0</v>
      </c>
      <c r="T17" s="152">
        <f ca="1">SUMIF(OFFSET($C17,1,0):$C$45,1,OFFSET(T17,1,0):T$45)</f>
        <v>0</v>
      </c>
      <c r="U17" s="152">
        <f ca="1">SUMIF(OFFSET($C17,1,0):$C$45,1,OFFSET(U17,1,0):U$45)</f>
        <v>0</v>
      </c>
      <c r="V17" s="152">
        <f ca="1">SUMIF(OFFSET($C17,1,0):$C$45,1,OFFSET(V17,1,0):V$45)</f>
        <v>0</v>
      </c>
      <c r="W17" s="152">
        <f ca="1">SUMIF(OFFSET($C17,1,0):$C$45,1,OFFSET(W17,1,0):W$45)</f>
        <v>0</v>
      </c>
      <c r="X17" s="171"/>
      <c r="AC17" s="152">
        <f ca="1">SUMIF(OFFSET($C17,1,0):$C$45,1,OFFSET(AC17,1,0):AC$45)</f>
        <v>0</v>
      </c>
    </row>
    <row r="18" spans="1:29" ht="14.25" customHeight="1">
      <c r="A18" s="1"/>
      <c r="B18" s="1"/>
      <c r="C18" s="1"/>
      <c r="D18" s="1"/>
      <c r="E18" s="1"/>
      <c r="F18" s="1"/>
      <c r="G18" s="1"/>
      <c r="H18" s="1"/>
      <c r="I18" s="1"/>
      <c r="J18" s="1"/>
      <c r="K18" s="1"/>
      <c r="L18" s="382" t="str">
        <f ca="1">INDEX(PO!K$12:K$60,MATCH($A20,PO!$V$12:$V$60,0))</f>
        <v>1.</v>
      </c>
      <c r="M18" s="376" t="str">
        <f ca="1">INDEX(PO!N$12:N$60,MATCH($A20,PO!$V$12:$V$60,0))</f>
        <v>PAVIMENTAÇÃO ASFÁLTICA; DRENAGEM PLUVIAL; SINALIZAÇÃO NA RUA DOS IMIGRANTES E SANTOS DUMONT</v>
      </c>
      <c r="N18" s="374">
        <f ca="1">IF(ROUND(K20,2)=0,K20,ROUND(K20,2))</f>
        <v>1E-12</v>
      </c>
      <c r="O18" s="203" t="s">
        <v>143</v>
      </c>
      <c r="P18" s="226">
        <v>1</v>
      </c>
      <c r="Q18" s="227">
        <f aca="true" t="shared" si="7" ref="Q18:W18">IF($B20,0,Q19-IF(ISNUMBER(P19),P19,0))</f>
        <v>0</v>
      </c>
      <c r="R18" s="227">
        <f ca="1" t="shared" si="7"/>
        <v>0</v>
      </c>
      <c r="S18" s="227">
        <f ca="1" t="shared" si="7"/>
        <v>0</v>
      </c>
      <c r="T18" s="227">
        <f ca="1" t="shared" si="7"/>
        <v>0</v>
      </c>
      <c r="U18" s="227">
        <f ca="1" t="shared" si="7"/>
        <v>0</v>
      </c>
      <c r="V18" s="227">
        <f ca="1" t="shared" si="7"/>
        <v>0</v>
      </c>
      <c r="W18" s="228">
        <f ca="1" t="shared" si="7"/>
        <v>0</v>
      </c>
      <c r="X18" s="197" t="s">
        <v>106</v>
      </c>
      <c r="AC18" s="221">
        <f ca="1">IF($B20,0,AC19-IF(ISNUMBER(AB19),AB19,0))</f>
        <v>0</v>
      </c>
    </row>
    <row r="19" spans="1:29" ht="13.8">
      <c r="A19" s="1"/>
      <c r="B19" s="1"/>
      <c r="C19" s="1"/>
      <c r="D19" s="1"/>
      <c r="E19" s="1"/>
      <c r="F19" s="1"/>
      <c r="G19" s="1"/>
      <c r="H19" s="1"/>
      <c r="I19" s="1"/>
      <c r="J19" s="1"/>
      <c r="K19" s="1"/>
      <c r="L19" s="383"/>
      <c r="M19" s="377"/>
      <c r="N19" s="375"/>
      <c r="O19" s="170" t="s">
        <v>145</v>
      </c>
      <c r="P19" s="198">
        <f aca="true" t="shared" si="8" ref="P19:W19">MIN(IF($B20,P18+IF(ISNUMBER(O19),O19,0),P20/$N18),1)</f>
        <v>0</v>
      </c>
      <c r="Q19" s="168">
        <f ca="1" t="shared" si="8"/>
        <v>0</v>
      </c>
      <c r="R19" s="168">
        <f ca="1" t="shared" si="8"/>
        <v>0</v>
      </c>
      <c r="S19" s="168">
        <f ca="1" t="shared" si="8"/>
        <v>0</v>
      </c>
      <c r="T19" s="168">
        <f ca="1" t="shared" si="8"/>
        <v>0</v>
      </c>
      <c r="U19" s="168">
        <f ca="1" t="shared" si="8"/>
        <v>0</v>
      </c>
      <c r="V19" s="168">
        <f ca="1" t="shared" si="8"/>
        <v>0</v>
      </c>
      <c r="W19" s="168">
        <f ca="1" t="shared" si="8"/>
        <v>0</v>
      </c>
      <c r="X19" s="196"/>
      <c r="AC19" s="168">
        <f ca="1">MIN(IF($B20,AC18+IF(ISNUMBER(AB19),AB19,0),AC20/$N18),1)</f>
        <v>0</v>
      </c>
    </row>
    <row r="20" spans="1:29" ht="13.8">
      <c r="A20" s="114">
        <f ca="1">OFFSET(A20,-CFF.NumLinha,0)+1</f>
        <v>1</v>
      </c>
      <c r="B20" s="1" t="b">
        <f ca="1">$C20&gt;=OFFSET($C20,CFF.NumLinha,0)</f>
        <v>0</v>
      </c>
      <c r="C20" s="184">
        <f ca="1">INDEX(PO!A$12:A$60,MATCH($A20,PO!$V$12:$V$60,0))</f>
        <v>1</v>
      </c>
      <c r="D20" s="184">
        <f ca="1">IF(ISERROR(J20),I20,SMALL(I20:J20,1))-1</f>
        <v>24</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MATCH(0,OFFSET($D20,1,$C20,ROW($A$45)-ROW($A20)),0)</f>
        <v>25</v>
      </c>
      <c r="J20" s="184" t="e">
        <f ca="1">MATCH(OFFSET($D20,0,$C20)+1,OFFSET($D20,1,$C20,ROW($A$45)-ROW($A20)),0)</f>
        <v>#N/A</v>
      </c>
      <c r="K20" s="185">
        <f ca="1">ROUND(INDEX(PO!T$12:T$60,MATCH($A20,PO!$V$12:$V$60,0)),2)+10^-12</f>
        <v>1E-12</v>
      </c>
      <c r="L20" s="383"/>
      <c r="M20" s="377"/>
      <c r="N20" s="375"/>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82" t="str">
        <f ca="1">INDEX(PO!K$12:K$60,MATCH($A23,PO!$V$12:$V$60,0))</f>
        <v>1.1.</v>
      </c>
      <c r="M21" s="376" t="str">
        <f ca="1">INDEX(PO!N$12:N$60,MATCH($A23,PO!$V$12:$V$60,0))</f>
        <v>SERVIÇOS PRELIMINARES</v>
      </c>
      <c r="N21" s="374">
        <f aca="true" t="shared" si="10" ref="N21">IF(ROUND(K23,2)=0,K23,ROUND(K23,2))</f>
        <v>1E-12</v>
      </c>
      <c r="O21" s="220" t="s">
        <v>143</v>
      </c>
      <c r="P21" s="226">
        <v>0.5</v>
      </c>
      <c r="Q21" s="227">
        <v>0.5</v>
      </c>
      <c r="R21" s="227">
        <v>0.1</v>
      </c>
      <c r="S21" s="227">
        <v>0.1</v>
      </c>
      <c r="T21" s="227">
        <v>0.1</v>
      </c>
      <c r="U21" s="227">
        <v>0.1</v>
      </c>
      <c r="V21" s="227">
        <v>0.1</v>
      </c>
      <c r="W21" s="228">
        <v>0.1</v>
      </c>
      <c r="X21" s="196"/>
      <c r="AC21" s="221">
        <f aca="true" t="shared" si="11" ref="AC21">IF($B23,0,AC22-IF(ISNUMBER(AB22),AB22,0))</f>
        <v>0</v>
      </c>
    </row>
    <row r="22" spans="1:29" ht="13.8">
      <c r="A22" s="184"/>
      <c r="B22" s="184"/>
      <c r="C22" s="184"/>
      <c r="D22" s="184"/>
      <c r="E22" s="184"/>
      <c r="F22" s="184"/>
      <c r="G22" s="184"/>
      <c r="H22" s="184"/>
      <c r="I22" s="184"/>
      <c r="J22" s="184"/>
      <c r="K22" s="184"/>
      <c r="L22" s="383"/>
      <c r="M22" s="377"/>
      <c r="N22" s="375"/>
      <c r="O22" s="170" t="s">
        <v>145</v>
      </c>
      <c r="P22" s="198">
        <f aca="true" t="shared" si="12" ref="P22">MIN(IF($B23,P21+IF(ISNUMBER(O22),O22,0),P23/$N21),1)</f>
        <v>0.5</v>
      </c>
      <c r="Q22" s="168">
        <f aca="true" t="shared" si="13" ref="Q22">MIN(IF($B23,Q21+IF(ISNUMBER(P22),P22,0),Q23/$N21),1)</f>
        <v>1</v>
      </c>
      <c r="R22" s="168">
        <f aca="true" t="shared" si="14" ref="R22">MIN(IF($B23,R21+IF(ISNUMBER(Q22),Q22,0),R23/$N21),1)</f>
        <v>1</v>
      </c>
      <c r="S22" s="168">
        <f aca="true" t="shared" si="15" ref="S22">MIN(IF($B23,S21+IF(ISNUMBER(R22),R22,0),S23/$N21),1)</f>
        <v>1</v>
      </c>
      <c r="T22" s="168">
        <f aca="true" t="shared" si="16" ref="T22">MIN(IF($B23,T21+IF(ISNUMBER(S22),S22,0),T23/$N21),1)</f>
        <v>1</v>
      </c>
      <c r="U22" s="168">
        <f aca="true" t="shared" si="17" ref="U22">MIN(IF($B23,U21+IF(ISNUMBER(T22),T22,0),U23/$N21),1)</f>
        <v>1</v>
      </c>
      <c r="V22" s="168">
        <f aca="true" t="shared" si="18" ref="V22">MIN(IF($B23,V21+IF(ISNUMBER(U22),U22,0),V23/$N21),1)</f>
        <v>1</v>
      </c>
      <c r="W22" s="168">
        <f aca="true" t="shared" si="19" ref="W22">MIN(IF($B23,W21+IF(ISNUMBER(V22),V22,0),W23/$N21),1)</f>
        <v>1</v>
      </c>
      <c r="X22" s="196"/>
      <c r="AC22" s="168">
        <f aca="true" t="shared" si="20" ref="AC22">MIN(IF($B23,AC21+IF(ISNUMBER(AB22),AB22,0),AC23/$N21),1)</f>
        <v>0</v>
      </c>
    </row>
    <row r="23" spans="1:29" ht="13.8">
      <c r="A23" s="184">
        <f ca="1">OFFSET(A23,-CFF.NumLinha,0)+1</f>
        <v>2</v>
      </c>
      <c r="B23" s="184" t="b">
        <f ca="1">$C23&gt;=OFFSET($C23,CFF.NumLinha,0)</f>
        <v>1</v>
      </c>
      <c r="C23" s="184">
        <f ca="1">INDEX(PO!A$12:A$60,MATCH($A23,PO!$V$12:$V$60,0))</f>
        <v>2</v>
      </c>
      <c r="D23" s="184">
        <f aca="true" t="shared" si="21" ref="D23">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ca="1">MATCH(0,OFFSET($D23,1,$C23,ROW($A$45)-ROW($A23)),0)</f>
        <v>22</v>
      </c>
      <c r="J23" s="184">
        <f ca="1">MATCH(OFFSET($D23,0,$C23)+1,OFFSET($D23,1,$C23,ROW($A$45)-ROW($A23)),0)</f>
        <v>3</v>
      </c>
      <c r="K23" s="185">
        <f ca="1">ROUND(INDEX(PO!T$12:T$60,MATCH($A23,PO!$V$12:$V$60,0)),2)+10^-12</f>
        <v>1E-12</v>
      </c>
      <c r="L23" s="383"/>
      <c r="M23" s="377"/>
      <c r="N23" s="375"/>
      <c r="O23" s="204" t="s">
        <v>20</v>
      </c>
      <c r="P23" s="199">
        <f aca="true" ca="1" t="shared" si="22" ref="P23:W23">IF($B23,ROUND(P22*$N21,2),ROUND(SUMIF(OFFSET($B23,1,0,$D23),TRUE,OFFSET(P23,1,0,$D23))/SUMIF(OFFSET($B23,1,0,$D23),TRUE,OFFSET($K23,1,0,$D23))*$N21,2))</f>
        <v>0</v>
      </c>
      <c r="Q23" s="169">
        <f ca="1" t="shared" si="22"/>
        <v>0</v>
      </c>
      <c r="R23" s="169">
        <f ca="1" t="shared" si="22"/>
        <v>0</v>
      </c>
      <c r="S23" s="169">
        <f ca="1" t="shared" si="22"/>
        <v>0</v>
      </c>
      <c r="T23" s="169">
        <f ca="1" t="shared" si="22"/>
        <v>0</v>
      </c>
      <c r="U23" s="169">
        <f ca="1" t="shared" si="22"/>
        <v>0</v>
      </c>
      <c r="V23" s="169">
        <f ca="1" t="shared" si="22"/>
        <v>0</v>
      </c>
      <c r="W23" s="207">
        <f ca="1" t="shared" si="22"/>
        <v>0</v>
      </c>
      <c r="X23" s="196"/>
      <c r="AC23" s="169">
        <f aca="true" ca="1" t="shared" si="23" ref="AC23">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82" t="str">
        <f ca="1">INDEX(PO!K$12:K$60,MATCH($A26,PO!$V$12:$V$60,0))</f>
        <v>1.2.</v>
      </c>
      <c r="M24" s="376" t="str">
        <f ca="1">INDEX(PO!N$12:N$60,MATCH($A26,PO!$V$12:$V$60,0))</f>
        <v>ADMINISTRAÇÃO LOCAL</v>
      </c>
      <c r="N24" s="374">
        <f aca="true" t="shared" si="24" ref="N24">IF(ROUND(K26,2)=0,K26,ROUND(K26,2))</f>
        <v>1E-12</v>
      </c>
      <c r="O24" s="220" t="s">
        <v>143</v>
      </c>
      <c r="P24" s="226">
        <v>0.125</v>
      </c>
      <c r="Q24" s="227">
        <v>0.125</v>
      </c>
      <c r="R24" s="227">
        <v>0.125</v>
      </c>
      <c r="S24" s="227">
        <v>0.125</v>
      </c>
      <c r="T24" s="227">
        <v>0.125</v>
      </c>
      <c r="U24" s="227">
        <v>0.125</v>
      </c>
      <c r="V24" s="227">
        <v>0.125</v>
      </c>
      <c r="W24" s="228">
        <v>0.125</v>
      </c>
      <c r="X24" s="196"/>
      <c r="AC24" s="221">
        <f aca="true" t="shared" si="25" ref="AC24">IF($B26,0,AC25-IF(ISNUMBER(AB25),AB25,0))</f>
        <v>0</v>
      </c>
    </row>
    <row r="25" spans="1:29" ht="13.8">
      <c r="A25" s="184"/>
      <c r="B25" s="184"/>
      <c r="C25" s="184"/>
      <c r="D25" s="184"/>
      <c r="E25" s="184"/>
      <c r="F25" s="184"/>
      <c r="G25" s="184"/>
      <c r="H25" s="184"/>
      <c r="I25" s="184"/>
      <c r="J25" s="184"/>
      <c r="K25" s="184"/>
      <c r="L25" s="383"/>
      <c r="M25" s="377"/>
      <c r="N25" s="375"/>
      <c r="O25" s="170" t="s">
        <v>145</v>
      </c>
      <c r="P25" s="198">
        <f aca="true" t="shared" si="26" ref="P25">MIN(IF($B26,P24+IF(ISNUMBER(O25),O25,0),P26/$N24),1)</f>
        <v>0.125</v>
      </c>
      <c r="Q25" s="168">
        <f aca="true" t="shared" si="27" ref="Q25">MIN(IF($B26,Q24+IF(ISNUMBER(P25),P25,0),Q26/$N24),1)</f>
        <v>0.25</v>
      </c>
      <c r="R25" s="168">
        <f aca="true" t="shared" si="28" ref="R25">MIN(IF($B26,R24+IF(ISNUMBER(Q25),Q25,0),R26/$N24),1)</f>
        <v>0.375</v>
      </c>
      <c r="S25" s="168">
        <f aca="true" t="shared" si="29" ref="S25">MIN(IF($B26,S24+IF(ISNUMBER(R25),R25,0),S26/$N24),1)</f>
        <v>0.5</v>
      </c>
      <c r="T25" s="168">
        <f aca="true" t="shared" si="30" ref="T25">MIN(IF($B26,T24+IF(ISNUMBER(S25),S25,0),T26/$N24),1)</f>
        <v>0.625</v>
      </c>
      <c r="U25" s="168">
        <f aca="true" t="shared" si="31" ref="U25">MIN(IF($B26,U24+IF(ISNUMBER(T25),T25,0),U26/$N24),1)</f>
        <v>0.75</v>
      </c>
      <c r="V25" s="168">
        <f aca="true" t="shared" si="32" ref="V25">MIN(IF($B26,V24+IF(ISNUMBER(U25),U25,0),V26/$N24),1)</f>
        <v>0.875</v>
      </c>
      <c r="W25" s="168">
        <f aca="true" t="shared" si="33" ref="W25">MIN(IF($B26,W24+IF(ISNUMBER(V25),V25,0),W26/$N24),1)</f>
        <v>1</v>
      </c>
      <c r="X25" s="196"/>
      <c r="AC25" s="168">
        <f aca="true" t="shared" si="34" ref="AC25">MIN(IF($B26,AC24+IF(ISNUMBER(AB25),AB25,0),AC26/$N24),1)</f>
        <v>0</v>
      </c>
    </row>
    <row r="26" spans="1:29" ht="13.8">
      <c r="A26" s="184">
        <f ca="1">OFFSET(A26,-CFF.NumLinha,0)+1</f>
        <v>3</v>
      </c>
      <c r="B26" s="184" t="b">
        <f ca="1">$C26&gt;=OFFSET($C26,CFF.NumLinha,0)</f>
        <v>1</v>
      </c>
      <c r="C26" s="184">
        <f ca="1">INDEX(PO!A$12:A$60,MATCH($A26,PO!$V$12:$V$60,0))</f>
        <v>2</v>
      </c>
      <c r="D26" s="184">
        <f aca="true" t="shared" si="35" ref="D26">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ca="1">MATCH(0,OFFSET($D26,1,$C26,ROW($A$45)-ROW($A26)),0)</f>
        <v>19</v>
      </c>
      <c r="J26" s="184">
        <f ca="1">MATCH(OFFSET($D26,0,$C26)+1,OFFSET($D26,1,$C26,ROW($A$45)-ROW($A26)),0)</f>
        <v>3</v>
      </c>
      <c r="K26" s="185">
        <f ca="1">ROUND(INDEX(PO!T$12:T$60,MATCH($A26,PO!$V$12:$V$60,0)),2)+10^-12</f>
        <v>1E-12</v>
      </c>
      <c r="L26" s="383"/>
      <c r="M26" s="377"/>
      <c r="N26" s="375"/>
      <c r="O26" s="204" t="s">
        <v>20</v>
      </c>
      <c r="P26" s="199">
        <f aca="true" ca="1" t="shared" si="36" ref="P26:W26">IF($B26,ROUND(P25*$N24,2),ROUND(SUMIF(OFFSET($B26,1,0,$D26),TRUE,OFFSET(P26,1,0,$D26))/SUMIF(OFFSET($B26,1,0,$D26),TRUE,OFFSET($K26,1,0,$D26))*$N24,2))</f>
        <v>0</v>
      </c>
      <c r="Q26" s="169">
        <f ca="1" t="shared" si="36"/>
        <v>0</v>
      </c>
      <c r="R26" s="169">
        <f ca="1" t="shared" si="36"/>
        <v>0</v>
      </c>
      <c r="S26" s="169">
        <f ca="1" t="shared" si="36"/>
        <v>0</v>
      </c>
      <c r="T26" s="169">
        <f ca="1" t="shared" si="36"/>
        <v>0</v>
      </c>
      <c r="U26" s="169">
        <f ca="1" t="shared" si="36"/>
        <v>0</v>
      </c>
      <c r="V26" s="169">
        <f ca="1" t="shared" si="36"/>
        <v>0</v>
      </c>
      <c r="W26" s="207">
        <f ca="1" t="shared" si="36"/>
        <v>0</v>
      </c>
      <c r="X26" s="196"/>
      <c r="AC26" s="169">
        <f aca="true" ca="1" t="shared" si="37" ref="AC26">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82" t="str">
        <f ca="1">INDEX(PO!K$12:K$60,MATCH($A29,PO!$V$12:$V$60,0))</f>
        <v>1.3.</v>
      </c>
      <c r="M27" s="376" t="str">
        <f ca="1">INDEX(PO!N$12:N$60,MATCH($A29,PO!$V$12:$V$60,0))</f>
        <v>SINALIZAÇÃO PROVISÓRIA DA OBRA</v>
      </c>
      <c r="N27" s="374">
        <f aca="true" t="shared" si="38" ref="N27">IF(ROUND(K29,2)=0,K29,ROUND(K29,2))</f>
        <v>1E-12</v>
      </c>
      <c r="O27" s="220" t="s">
        <v>143</v>
      </c>
      <c r="P27" s="226">
        <v>0.125</v>
      </c>
      <c r="Q27" s="228">
        <v>0.125</v>
      </c>
      <c r="R27" s="228">
        <v>0.125</v>
      </c>
      <c r="S27" s="228">
        <v>0.125</v>
      </c>
      <c r="T27" s="228">
        <v>0.125</v>
      </c>
      <c r="U27" s="228">
        <v>0.125</v>
      </c>
      <c r="V27" s="228">
        <v>0.125</v>
      </c>
      <c r="W27" s="228">
        <v>0.125</v>
      </c>
      <c r="X27" s="196"/>
      <c r="AC27" s="221">
        <f aca="true" t="shared" si="39" ref="AC27">IF($B29,0,AC28-IF(ISNUMBER(AB28),AB28,0))</f>
        <v>0</v>
      </c>
    </row>
    <row r="28" spans="1:29" ht="13.8">
      <c r="A28" s="184"/>
      <c r="B28" s="184"/>
      <c r="C28" s="184"/>
      <c r="D28" s="184"/>
      <c r="E28" s="184"/>
      <c r="F28" s="184"/>
      <c r="G28" s="184"/>
      <c r="H28" s="184"/>
      <c r="I28" s="184"/>
      <c r="J28" s="184"/>
      <c r="K28" s="184"/>
      <c r="L28" s="383"/>
      <c r="M28" s="377"/>
      <c r="N28" s="375"/>
      <c r="O28" s="170" t="s">
        <v>145</v>
      </c>
      <c r="P28" s="198">
        <f aca="true" t="shared" si="40" ref="P28">MIN(IF($B29,P27+IF(ISNUMBER(O28),O28,0),P29/$N27),1)</f>
        <v>0.125</v>
      </c>
      <c r="Q28" s="168">
        <f aca="true" t="shared" si="41" ref="Q28">MIN(IF($B29,Q27+IF(ISNUMBER(P28),P28,0),Q29/$N27),1)</f>
        <v>0.25</v>
      </c>
      <c r="R28" s="168">
        <f aca="true" t="shared" si="42" ref="R28">MIN(IF($B29,R27+IF(ISNUMBER(Q28),Q28,0),R29/$N27),1)</f>
        <v>0.375</v>
      </c>
      <c r="S28" s="168">
        <f aca="true" t="shared" si="43" ref="S28">MIN(IF($B29,S27+IF(ISNUMBER(R28),R28,0),S29/$N27),1)</f>
        <v>0.5</v>
      </c>
      <c r="T28" s="168">
        <f aca="true" t="shared" si="44" ref="T28">MIN(IF($B29,T27+IF(ISNUMBER(S28),S28,0),T29/$N27),1)</f>
        <v>0.625</v>
      </c>
      <c r="U28" s="168">
        <f aca="true" t="shared" si="45" ref="U28">MIN(IF($B29,U27+IF(ISNUMBER(T28),T28,0),U29/$N27),1)</f>
        <v>0.75</v>
      </c>
      <c r="V28" s="168">
        <f aca="true" t="shared" si="46" ref="V28">MIN(IF($B29,V27+IF(ISNUMBER(U28),U28,0),V29/$N27),1)</f>
        <v>0.875</v>
      </c>
      <c r="W28" s="168">
        <f aca="true" t="shared" si="47" ref="W28">MIN(IF($B29,W27+IF(ISNUMBER(V28),V28,0),W29/$N27),1)</f>
        <v>1</v>
      </c>
      <c r="X28" s="196"/>
      <c r="AC28" s="168">
        <f aca="true" t="shared" si="48" ref="AC28">MIN(IF($B29,AC27+IF(ISNUMBER(AB28),AB28,0),AC29/$N27),1)</f>
        <v>0</v>
      </c>
    </row>
    <row r="29" spans="1:29" ht="13.8">
      <c r="A29" s="184">
        <f ca="1">OFFSET(A29,-CFF.NumLinha,0)+1</f>
        <v>4</v>
      </c>
      <c r="B29" s="184" t="b">
        <f ca="1">$C29&gt;=OFFSET($C29,CFF.NumLinha,0)</f>
        <v>1</v>
      </c>
      <c r="C29" s="184">
        <f ca="1">INDEX(PO!A$12:A$60,MATCH($A29,PO!$V$12:$V$60,0))</f>
        <v>2</v>
      </c>
      <c r="D29" s="184">
        <f aca="true" t="shared" si="49" ref="D29">IF(ISERROR(J29),I29,SMALL(I29:J29,1))-1</f>
        <v>2</v>
      </c>
      <c r="E29" s="184">
        <f ca="1">IF($C29=1,OFFSET(E29,-CFF.NumLinha,0)+1,OFFSET(E29,-CFF.NumLinha,0))</f>
        <v>1</v>
      </c>
      <c r="F29" s="184">
        <f ca="1">IF($C29=1,0,IF($C29=2,OFFSET(F29,-CFF.NumLinha,0)+1,OFFSET(F29,-CFF.NumLinha,0)))</f>
        <v>3</v>
      </c>
      <c r="G29" s="184">
        <f ca="1">IF(AND($C29&lt;=2,$C29&lt;&gt;0),0,IF($C29=3,OFFSET(G29,-CFF.NumLinha,0)+1,OFFSET(G29,-CFF.NumLinha,0)))</f>
        <v>0</v>
      </c>
      <c r="H29" s="184">
        <f ca="1">IF(AND($C29&lt;=3,$C29&lt;&gt;0),0,IF($C29=4,OFFSET(H29,-CFF.NumLinha,0)+1,OFFSET(H29,-CFF.NumLinha,0)))</f>
        <v>0</v>
      </c>
      <c r="I29" s="184">
        <f ca="1">MATCH(0,OFFSET($D29,1,$C29,ROW($A$45)-ROW($A29)),0)</f>
        <v>16</v>
      </c>
      <c r="J29" s="184">
        <f ca="1">MATCH(OFFSET($D29,0,$C29)+1,OFFSET($D29,1,$C29,ROW($A$45)-ROW($A29)),0)</f>
        <v>3</v>
      </c>
      <c r="K29" s="185">
        <f ca="1">ROUND(INDEX(PO!T$12:T$60,MATCH($A29,PO!$V$12:$V$60,0)),2)+10^-12</f>
        <v>1E-12</v>
      </c>
      <c r="L29" s="383"/>
      <c r="M29" s="377"/>
      <c r="N29" s="375"/>
      <c r="O29" s="204" t="s">
        <v>20</v>
      </c>
      <c r="P29" s="199">
        <f aca="true" ca="1" t="shared" si="50" ref="P29:W29">IF($B29,ROUND(P28*$N27,2),ROUND(SUMIF(OFFSET($B29,1,0,$D29),TRUE,OFFSET(P29,1,0,$D29))/SUMIF(OFFSET($B29,1,0,$D29),TRUE,OFFSET($K29,1,0,$D29))*$N27,2))</f>
        <v>0</v>
      </c>
      <c r="Q29" s="169">
        <f ca="1" t="shared" si="50"/>
        <v>0</v>
      </c>
      <c r="R29" s="169">
        <f ca="1" t="shared" si="50"/>
        <v>0</v>
      </c>
      <c r="S29" s="169">
        <f ca="1" t="shared" si="50"/>
        <v>0</v>
      </c>
      <c r="T29" s="169">
        <f ca="1" t="shared" si="50"/>
        <v>0</v>
      </c>
      <c r="U29" s="169">
        <f ca="1" t="shared" si="50"/>
        <v>0</v>
      </c>
      <c r="V29" s="169">
        <f ca="1" t="shared" si="50"/>
        <v>0</v>
      </c>
      <c r="W29" s="207">
        <f ca="1" t="shared" si="50"/>
        <v>0</v>
      </c>
      <c r="X29" s="196"/>
      <c r="AC29" s="169">
        <f aca="true" ca="1" t="shared" si="51" ref="AC29">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82" t="str">
        <f ca="1">INDEX(PO!K$12:K$60,MATCH($A32,PO!$V$12:$V$60,0))</f>
        <v>1.4.</v>
      </c>
      <c r="M30" s="376" t="str">
        <f ca="1">INDEX(PO!N$12:N$60,MATCH($A32,PO!$V$12:$V$60,0))</f>
        <v>DRENAGEM PLUVIAL</v>
      </c>
      <c r="N30" s="374">
        <f aca="true" t="shared" si="52" ref="N30">IF(ROUND(K32,2)=0,K32,ROUND(K32,2))</f>
        <v>1E-12</v>
      </c>
      <c r="O30" s="220" t="s">
        <v>143</v>
      </c>
      <c r="P30" s="226">
        <v>0.5</v>
      </c>
      <c r="Q30" s="227">
        <v>0.5</v>
      </c>
      <c r="R30" s="227">
        <f aca="true" t="shared" si="53" ref="R30">IF($B32,0,R31-IF(ISNUMBER(Q31),Q31,0))</f>
        <v>0</v>
      </c>
      <c r="S30" s="227">
        <f aca="true" t="shared" si="54" ref="S30">IF($B32,0,S31-IF(ISNUMBER(R31),R31,0))</f>
        <v>0</v>
      </c>
      <c r="T30" s="227">
        <f aca="true" t="shared" si="55" ref="T30">IF($B32,0,T31-IF(ISNUMBER(S31),S31,0))</f>
        <v>0</v>
      </c>
      <c r="U30" s="227">
        <f aca="true" t="shared" si="56" ref="U30">IF($B32,0,U31-IF(ISNUMBER(T31),T31,0))</f>
        <v>0</v>
      </c>
      <c r="V30" s="227">
        <f aca="true" t="shared" si="57" ref="V30">IF($B32,0,V31-IF(ISNUMBER(U31),U31,0))</f>
        <v>0</v>
      </c>
      <c r="W30" s="227">
        <f aca="true" t="shared" si="58" ref="W30">IF($B32,0,W31-IF(ISNUMBER(V31),V31,0))</f>
        <v>0</v>
      </c>
      <c r="X30" s="196"/>
      <c r="AC30" s="221">
        <f aca="true" t="shared" si="59" ref="AC30">IF($B32,0,AC31-IF(ISNUMBER(AB31),AB31,0))</f>
        <v>0</v>
      </c>
    </row>
    <row r="31" spans="1:29" ht="13.8">
      <c r="A31" s="184"/>
      <c r="B31" s="184"/>
      <c r="C31" s="184"/>
      <c r="D31" s="184"/>
      <c r="E31" s="184"/>
      <c r="F31" s="184"/>
      <c r="G31" s="184"/>
      <c r="H31" s="184"/>
      <c r="I31" s="184"/>
      <c r="J31" s="184"/>
      <c r="K31" s="184"/>
      <c r="L31" s="383"/>
      <c r="M31" s="377"/>
      <c r="N31" s="375"/>
      <c r="O31" s="170" t="s">
        <v>145</v>
      </c>
      <c r="P31" s="198">
        <f aca="true" t="shared" si="60" ref="P31">MIN(IF($B32,P30+IF(ISNUMBER(O31),O31,0),P32/$N30),1)</f>
        <v>0.5</v>
      </c>
      <c r="Q31" s="168">
        <f aca="true" t="shared" si="61" ref="Q31">MIN(IF($B32,Q30+IF(ISNUMBER(P31),P31,0),Q32/$N30),1)</f>
        <v>1</v>
      </c>
      <c r="R31" s="168">
        <f aca="true" t="shared" si="62" ref="R31">MIN(IF($B32,R30+IF(ISNUMBER(Q31),Q31,0),R32/$N30),1)</f>
        <v>1</v>
      </c>
      <c r="S31" s="168">
        <f aca="true" t="shared" si="63" ref="S31">MIN(IF($B32,S30+IF(ISNUMBER(R31),R31,0),S32/$N30),1)</f>
        <v>1</v>
      </c>
      <c r="T31" s="168">
        <f aca="true" t="shared" si="64" ref="T31">MIN(IF($B32,T30+IF(ISNUMBER(S31),S31,0),T32/$N30),1)</f>
        <v>1</v>
      </c>
      <c r="U31" s="168">
        <f aca="true" t="shared" si="65" ref="U31">MIN(IF($B32,U30+IF(ISNUMBER(T31),T31,0),U32/$N30),1)</f>
        <v>1</v>
      </c>
      <c r="V31" s="168">
        <f aca="true" t="shared" si="66" ref="V31">MIN(IF($B32,V30+IF(ISNUMBER(U31),U31,0),V32/$N30),1)</f>
        <v>1</v>
      </c>
      <c r="W31" s="168">
        <f aca="true" t="shared" si="67" ref="W31">MIN(IF($B32,W30+IF(ISNUMBER(V31),V31,0),W32/$N30),1)</f>
        <v>1</v>
      </c>
      <c r="X31" s="196"/>
      <c r="AC31" s="168">
        <f aca="true" t="shared" si="68" ref="AC31">MIN(IF($B32,AC30+IF(ISNUMBER(AB31),AB31,0),AC32/$N30),1)</f>
        <v>0</v>
      </c>
    </row>
    <row r="32" spans="1:29" ht="13.8">
      <c r="A32" s="184">
        <f ca="1">OFFSET(A32,-CFF.NumLinha,0)+1</f>
        <v>5</v>
      </c>
      <c r="B32" s="184" t="b">
        <f ca="1">$C32&gt;=OFFSET($C32,CFF.NumLinha,0)</f>
        <v>1</v>
      </c>
      <c r="C32" s="184">
        <f ca="1">INDEX(PO!A$12:A$60,MATCH($A32,PO!$V$12:$V$60,0))</f>
        <v>2</v>
      </c>
      <c r="D32" s="184">
        <f aca="true" t="shared" si="69" ref="D32">IF(ISERROR(J32),I32,SMALL(I32:J32,1))-1</f>
        <v>2</v>
      </c>
      <c r="E32" s="184">
        <f ca="1">IF($C32=1,OFFSET(E32,-CFF.NumLinha,0)+1,OFFSET(E32,-CFF.NumLinha,0))</f>
        <v>1</v>
      </c>
      <c r="F32" s="184">
        <f ca="1">IF($C32=1,0,IF($C32=2,OFFSET(F32,-CFF.NumLinha,0)+1,OFFSET(F32,-CFF.NumLinha,0)))</f>
        <v>4</v>
      </c>
      <c r="G32" s="184">
        <f ca="1">IF(AND($C32&lt;=2,$C32&lt;&gt;0),0,IF($C32=3,OFFSET(G32,-CFF.NumLinha,0)+1,OFFSET(G32,-CFF.NumLinha,0)))</f>
        <v>0</v>
      </c>
      <c r="H32" s="184">
        <f ca="1">IF(AND($C32&lt;=3,$C32&lt;&gt;0),0,IF($C32=4,OFFSET(H32,-CFF.NumLinha,0)+1,OFFSET(H32,-CFF.NumLinha,0)))</f>
        <v>0</v>
      </c>
      <c r="I32" s="184">
        <f ca="1">MATCH(0,OFFSET($D32,1,$C32,ROW($A$45)-ROW($A32)),0)</f>
        <v>13</v>
      </c>
      <c r="J32" s="184">
        <f ca="1">MATCH(OFFSET($D32,0,$C32)+1,OFFSET($D32,1,$C32,ROW($A$45)-ROW($A32)),0)</f>
        <v>3</v>
      </c>
      <c r="K32" s="185">
        <f ca="1">ROUND(INDEX(PO!T$12:T$60,MATCH($A32,PO!$V$12:$V$60,0)),2)+10^-12</f>
        <v>1E-12</v>
      </c>
      <c r="L32" s="383"/>
      <c r="M32" s="377"/>
      <c r="N32" s="375"/>
      <c r="O32" s="204" t="s">
        <v>20</v>
      </c>
      <c r="P32" s="199">
        <f aca="true" ca="1" t="shared" si="70" ref="P32:W32">IF($B32,ROUND(P31*$N30,2),ROUND(SUMIF(OFFSET($B32,1,0,$D32),TRUE,OFFSET(P32,1,0,$D32))/SUMIF(OFFSET($B32,1,0,$D32),TRUE,OFFSET($K32,1,0,$D32))*$N30,2))</f>
        <v>0</v>
      </c>
      <c r="Q32" s="169">
        <f ca="1" t="shared" si="70"/>
        <v>0</v>
      </c>
      <c r="R32" s="169">
        <f ca="1" t="shared" si="70"/>
        <v>0</v>
      </c>
      <c r="S32" s="169">
        <f ca="1" t="shared" si="70"/>
        <v>0</v>
      </c>
      <c r="T32" s="169">
        <f ca="1" t="shared" si="70"/>
        <v>0</v>
      </c>
      <c r="U32" s="169">
        <f ca="1" t="shared" si="70"/>
        <v>0</v>
      </c>
      <c r="V32" s="169">
        <f ca="1" t="shared" si="70"/>
        <v>0</v>
      </c>
      <c r="W32" s="207">
        <f ca="1" t="shared" si="70"/>
        <v>0</v>
      </c>
      <c r="X32" s="196"/>
      <c r="AC32" s="169">
        <f aca="true" ca="1" t="shared" si="71" ref="AC32">IF($B32,ROUND(AC31*$N30,2),ROUND(SUMIF(OFFSET($B32,1,0,$D32),TRUE,OFFSET(AC32,1,0,$D32))/SUMIF(OFFSET($B32,1,0,$D32),TRUE,OFFSET($K32,1,0,$D32))*$N30,2))</f>
        <v>0</v>
      </c>
    </row>
    <row r="33" spans="1:29" ht="14.25" customHeight="1">
      <c r="A33" s="82"/>
      <c r="B33" s="82"/>
      <c r="C33" s="82"/>
      <c r="D33" s="82"/>
      <c r="E33" s="82"/>
      <c r="F33" s="82"/>
      <c r="G33" s="82"/>
      <c r="H33" s="82"/>
      <c r="I33" s="82"/>
      <c r="J33" s="82"/>
      <c r="K33" s="82"/>
      <c r="L33" s="382" t="str">
        <f ca="1">INDEX(PO!K$12:K$60,MATCH($A35,PO!$V$12:$V$60,0))</f>
        <v>1.5.</v>
      </c>
      <c r="M33" s="376" t="str">
        <f ca="1">INDEX(PO!N$12:N$60,MATCH($A35,PO!$V$12:$V$60,0))</f>
        <v>PAVIMENTAÇÃO ASFÁLTICA</v>
      </c>
      <c r="N33" s="374">
        <f aca="true" t="shared" si="72" ref="N33">IF(ROUND(K35,2)=0,K35,ROUND(K35,2))</f>
        <v>1E-12</v>
      </c>
      <c r="O33" s="220" t="s">
        <v>143</v>
      </c>
      <c r="P33" s="226">
        <v>0.33</v>
      </c>
      <c r="Q33" s="233">
        <v>0.33</v>
      </c>
      <c r="R33" s="227">
        <v>0.34</v>
      </c>
      <c r="S33" s="227">
        <f aca="true" t="shared" si="73" ref="S33">IF($B35,0,S34-IF(ISNUMBER(R34),R34,0))</f>
        <v>0</v>
      </c>
      <c r="T33" s="227">
        <f aca="true" t="shared" si="74" ref="T33">IF($B35,0,T34-IF(ISNUMBER(S34),S34,0))</f>
        <v>0</v>
      </c>
      <c r="U33" s="227">
        <f aca="true" t="shared" si="75" ref="U33">IF($B35,0,U34-IF(ISNUMBER(T34),T34,0))</f>
        <v>0</v>
      </c>
      <c r="V33" s="227">
        <f aca="true" t="shared" si="76" ref="V33">IF($B35,0,V34-IF(ISNUMBER(U34),U34,0))</f>
        <v>0</v>
      </c>
      <c r="W33" s="227">
        <f aca="true" t="shared" si="77" ref="W33">IF($B35,0,W34-IF(ISNUMBER(V34),V34,0))</f>
        <v>0</v>
      </c>
      <c r="X33" s="196"/>
      <c r="AC33" s="221">
        <f aca="true" t="shared" si="78" ref="AC33">IF($B35,0,AC34-IF(ISNUMBER(AB34),AB34,0))</f>
        <v>0</v>
      </c>
    </row>
    <row r="34" spans="1:29" ht="13.8">
      <c r="A34" s="184"/>
      <c r="B34" s="184"/>
      <c r="C34" s="184"/>
      <c r="D34" s="184"/>
      <c r="E34" s="184"/>
      <c r="F34" s="184"/>
      <c r="G34" s="184"/>
      <c r="H34" s="184"/>
      <c r="I34" s="184"/>
      <c r="J34" s="184"/>
      <c r="K34" s="184"/>
      <c r="L34" s="383"/>
      <c r="M34" s="377"/>
      <c r="N34" s="375"/>
      <c r="O34" s="170" t="s">
        <v>145</v>
      </c>
      <c r="P34" s="198">
        <f aca="true" t="shared" si="79" ref="P34">MIN(IF($B35,P33+IF(ISNUMBER(O34),O34,0),P35/$N33),1)</f>
        <v>0.33</v>
      </c>
      <c r="Q34" s="168">
        <f aca="true" t="shared" si="80" ref="Q34">MIN(IF($B35,Q33+IF(ISNUMBER(P34),P34,0),Q35/$N33),1)</f>
        <v>0.66</v>
      </c>
      <c r="R34" s="168">
        <f aca="true" t="shared" si="81" ref="R34">MIN(IF($B35,R33+IF(ISNUMBER(Q34),Q34,0),R35/$N33),1)</f>
        <v>1</v>
      </c>
      <c r="S34" s="168">
        <f aca="true" t="shared" si="82" ref="S34">MIN(IF($B35,S33+IF(ISNUMBER(R34),R34,0),S35/$N33),1)</f>
        <v>1</v>
      </c>
      <c r="T34" s="168">
        <f aca="true" t="shared" si="83" ref="T34">MIN(IF($B35,T33+IF(ISNUMBER(S34),S34,0),T35/$N33),1)</f>
        <v>1</v>
      </c>
      <c r="U34" s="168">
        <f aca="true" t="shared" si="84" ref="U34">MIN(IF($B35,U33+IF(ISNUMBER(T34),T34,0),U35/$N33),1)</f>
        <v>1</v>
      </c>
      <c r="V34" s="168">
        <f aca="true" t="shared" si="85" ref="V34">MIN(IF($B35,V33+IF(ISNUMBER(U34),U34,0),V35/$N33),1)</f>
        <v>1</v>
      </c>
      <c r="W34" s="168">
        <f aca="true" t="shared" si="86" ref="W34">MIN(IF($B35,W33+IF(ISNUMBER(V34),V34,0),W35/$N33),1)</f>
        <v>1</v>
      </c>
      <c r="X34" s="196"/>
      <c r="AC34" s="168">
        <f aca="true" t="shared" si="87" ref="AC34">MIN(IF($B35,AC33+IF(ISNUMBER(AB34),AB34,0),AC35/$N33),1)</f>
        <v>0</v>
      </c>
    </row>
    <row r="35" spans="1:29" ht="13.8">
      <c r="A35" s="184">
        <f ca="1">OFFSET(A35,-CFF.NumLinha,0)+1</f>
        <v>6</v>
      </c>
      <c r="B35" s="184" t="b">
        <f ca="1">$C35&gt;=OFFSET($C35,CFF.NumLinha,0)</f>
        <v>1</v>
      </c>
      <c r="C35" s="184">
        <f ca="1">INDEX(PO!A$12:A$60,MATCH($A35,PO!$V$12:$V$60,0))</f>
        <v>2</v>
      </c>
      <c r="D35" s="184">
        <f aca="true" t="shared" si="88" ref="D35">IF(ISERROR(J35),I35,SMALL(I35:J35,1))-1</f>
        <v>2</v>
      </c>
      <c r="E35" s="184">
        <f ca="1">IF($C35=1,OFFSET(E35,-CFF.NumLinha,0)+1,OFFSET(E35,-CFF.NumLinha,0))</f>
        <v>1</v>
      </c>
      <c r="F35" s="184">
        <f ca="1">IF($C35=1,0,IF($C35=2,OFFSET(F35,-CFF.NumLinha,0)+1,OFFSET(F35,-CFF.NumLinha,0)))</f>
        <v>5</v>
      </c>
      <c r="G35" s="184">
        <f ca="1">IF(AND($C35&lt;=2,$C35&lt;&gt;0),0,IF($C35=3,OFFSET(G35,-CFF.NumLinha,0)+1,OFFSET(G35,-CFF.NumLinha,0)))</f>
        <v>0</v>
      </c>
      <c r="H35" s="184">
        <f ca="1">IF(AND($C35&lt;=3,$C35&lt;&gt;0),0,IF($C35=4,OFFSET(H35,-CFF.NumLinha,0)+1,OFFSET(H35,-CFF.NumLinha,0)))</f>
        <v>0</v>
      </c>
      <c r="I35" s="184">
        <f ca="1">MATCH(0,OFFSET($D35,1,$C35,ROW($A$45)-ROW($A35)),0)</f>
        <v>10</v>
      </c>
      <c r="J35" s="184">
        <f ca="1">MATCH(OFFSET($D35,0,$C35)+1,OFFSET($D35,1,$C35,ROW($A$45)-ROW($A35)),0)</f>
        <v>3</v>
      </c>
      <c r="K35" s="185">
        <f ca="1">ROUND(INDEX(PO!T$12:T$60,MATCH($A35,PO!$V$12:$V$60,0)),2)+10^-12</f>
        <v>1E-12</v>
      </c>
      <c r="L35" s="383"/>
      <c r="M35" s="377"/>
      <c r="N35" s="375"/>
      <c r="O35" s="204" t="s">
        <v>20</v>
      </c>
      <c r="P35" s="199">
        <f aca="true" ca="1" t="shared" si="89" ref="P35:W35">IF($B35,ROUND(P34*$N33,2),ROUND(SUMIF(OFFSET($B35,1,0,$D35),TRUE,OFFSET(P35,1,0,$D35))/SUMIF(OFFSET($B35,1,0,$D35),TRUE,OFFSET($K35,1,0,$D35))*$N33,2))</f>
        <v>0</v>
      </c>
      <c r="Q35" s="169">
        <f ca="1" t="shared" si="89"/>
        <v>0</v>
      </c>
      <c r="R35" s="169">
        <f ca="1" t="shared" si="89"/>
        <v>0</v>
      </c>
      <c r="S35" s="169">
        <f ca="1" t="shared" si="89"/>
        <v>0</v>
      </c>
      <c r="T35" s="169">
        <f ca="1" t="shared" si="89"/>
        <v>0</v>
      </c>
      <c r="U35" s="169">
        <f ca="1" t="shared" si="89"/>
        <v>0</v>
      </c>
      <c r="V35" s="169">
        <f ca="1" t="shared" si="89"/>
        <v>0</v>
      </c>
      <c r="W35" s="207">
        <f ca="1" t="shared" si="89"/>
        <v>0</v>
      </c>
      <c r="X35" s="196"/>
      <c r="AC35" s="169">
        <f aca="true" ca="1" t="shared" si="90" ref="AC35">IF($B35,ROUND(AC34*$N33,2),ROUND(SUMIF(OFFSET($B35,1,0,$D35),TRUE,OFFSET(AC35,1,0,$D35))/SUMIF(OFFSET($B35,1,0,$D35),TRUE,OFFSET($K35,1,0,$D35))*$N33,2))</f>
        <v>0</v>
      </c>
    </row>
    <row r="36" spans="1:29" ht="14.25" customHeight="1">
      <c r="A36" s="82"/>
      <c r="B36" s="82"/>
      <c r="C36" s="82"/>
      <c r="D36" s="82"/>
      <c r="E36" s="82"/>
      <c r="F36" s="82"/>
      <c r="G36" s="82"/>
      <c r="H36" s="82"/>
      <c r="I36" s="82"/>
      <c r="J36" s="82"/>
      <c r="K36" s="82"/>
      <c r="L36" s="382" t="str">
        <f ca="1">INDEX(PO!K$12:K$60,MATCH($A38,PO!$V$12:$V$60,0))</f>
        <v>1.6.</v>
      </c>
      <c r="M36" s="376" t="str">
        <f ca="1">INDEX(PO!N$12:N$60,MATCH($A38,PO!$V$12:$V$60,0))</f>
        <v>PINTURA DE SINALIZAÇÃO</v>
      </c>
      <c r="N36" s="374">
        <f aca="true" t="shared" si="91" ref="N36">IF(ROUND(K38,2)=0,K38,ROUND(K38,2))</f>
        <v>1E-12</v>
      </c>
      <c r="O36" s="220" t="s">
        <v>143</v>
      </c>
      <c r="P36" s="226">
        <f aca="true" t="shared" si="92" ref="P36">IF($B38,0,P37-IF(ISNUMBER(O37),O37,0))</f>
        <v>0</v>
      </c>
      <c r="Q36" s="227">
        <v>0.33</v>
      </c>
      <c r="R36" s="227">
        <v>0.33</v>
      </c>
      <c r="S36" s="227">
        <v>0.34</v>
      </c>
      <c r="T36" s="227">
        <f aca="true" t="shared" si="93" ref="T36">IF($B38,0,T37-IF(ISNUMBER(S37),S37,0))</f>
        <v>0</v>
      </c>
      <c r="U36" s="227">
        <f aca="true" t="shared" si="94" ref="U36">IF($B38,0,U37-IF(ISNUMBER(T37),T37,0))</f>
        <v>0</v>
      </c>
      <c r="V36" s="227">
        <f aca="true" t="shared" si="95" ref="V36">IF($B38,0,V37-IF(ISNUMBER(U37),U37,0))</f>
        <v>0</v>
      </c>
      <c r="W36" s="227">
        <f aca="true" t="shared" si="96" ref="W36">IF($B38,0,W37-IF(ISNUMBER(V37),V37,0))</f>
        <v>0</v>
      </c>
      <c r="X36" s="196"/>
      <c r="AC36" s="221">
        <f aca="true" t="shared" si="97" ref="AC36">IF($B38,0,AC37-IF(ISNUMBER(AB37),AB37,0))</f>
        <v>0</v>
      </c>
    </row>
    <row r="37" spans="1:29" ht="13.8">
      <c r="A37" s="184"/>
      <c r="B37" s="184"/>
      <c r="C37" s="184"/>
      <c r="D37" s="184"/>
      <c r="E37" s="184"/>
      <c r="F37" s="184"/>
      <c r="G37" s="184"/>
      <c r="H37" s="184"/>
      <c r="I37" s="184"/>
      <c r="J37" s="184"/>
      <c r="K37" s="184"/>
      <c r="L37" s="383"/>
      <c r="M37" s="377"/>
      <c r="N37" s="375"/>
      <c r="O37" s="170" t="s">
        <v>145</v>
      </c>
      <c r="P37" s="198">
        <f aca="true" t="shared" si="98" ref="P37">MIN(IF($B38,P36+IF(ISNUMBER(O37),O37,0),P38/$N36),1)</f>
        <v>0</v>
      </c>
      <c r="Q37" s="168">
        <f aca="true" t="shared" si="99" ref="Q37">MIN(IF($B38,Q36+IF(ISNUMBER(P37),P37,0),Q38/$N36),1)</f>
        <v>0.33</v>
      </c>
      <c r="R37" s="168">
        <f aca="true" t="shared" si="100" ref="R37">MIN(IF($B38,R36+IF(ISNUMBER(Q37),Q37,0),R38/$N36),1)</f>
        <v>0.66</v>
      </c>
      <c r="S37" s="168">
        <f aca="true" t="shared" si="101" ref="S37">MIN(IF($B38,S36+IF(ISNUMBER(R37),R37,0),S38/$N36),1)</f>
        <v>1</v>
      </c>
      <c r="T37" s="168">
        <f aca="true" t="shared" si="102" ref="T37">MIN(IF($B38,T36+IF(ISNUMBER(S37),S37,0),T38/$N36),1)</f>
        <v>1</v>
      </c>
      <c r="U37" s="168">
        <f aca="true" t="shared" si="103" ref="U37">MIN(IF($B38,U36+IF(ISNUMBER(T37),T37,0),U38/$N36),1)</f>
        <v>1</v>
      </c>
      <c r="V37" s="168">
        <f aca="true" t="shared" si="104" ref="V37">MIN(IF($B38,V36+IF(ISNUMBER(U37),U37,0),V38/$N36),1)</f>
        <v>1</v>
      </c>
      <c r="W37" s="168">
        <f aca="true" t="shared" si="105" ref="W37">MIN(IF($B38,W36+IF(ISNUMBER(V37),V37,0),W38/$N36),1)</f>
        <v>1</v>
      </c>
      <c r="X37" s="196"/>
      <c r="AC37" s="168">
        <f aca="true" t="shared" si="106" ref="AC37">MIN(IF($B38,AC36+IF(ISNUMBER(AB37),AB37,0),AC38/$N36),1)</f>
        <v>0</v>
      </c>
    </row>
    <row r="38" spans="1:29" ht="13.8">
      <c r="A38" s="184">
        <f ca="1">OFFSET(A38,-CFF.NumLinha,0)+1</f>
        <v>7</v>
      </c>
      <c r="B38" s="184" t="b">
        <f ca="1">$C38&gt;=OFFSET($C38,CFF.NumLinha,0)</f>
        <v>1</v>
      </c>
      <c r="C38" s="184">
        <f ca="1">INDEX(PO!A$12:A$60,MATCH($A38,PO!$V$12:$V$60,0))</f>
        <v>2</v>
      </c>
      <c r="D38" s="184">
        <f aca="true" t="shared" si="107" ref="D38">IF(ISERROR(J38),I38,SMALL(I38:J38,1))-1</f>
        <v>2</v>
      </c>
      <c r="E38" s="184">
        <f ca="1">IF($C38=1,OFFSET(E38,-CFF.NumLinha,0)+1,OFFSET(E38,-CFF.NumLinha,0))</f>
        <v>1</v>
      </c>
      <c r="F38" s="184">
        <f ca="1">IF($C38=1,0,IF($C38=2,OFFSET(F38,-CFF.NumLinha,0)+1,OFFSET(F38,-CFF.NumLinha,0)))</f>
        <v>6</v>
      </c>
      <c r="G38" s="184">
        <f ca="1">IF(AND($C38&lt;=2,$C38&lt;&gt;0),0,IF($C38=3,OFFSET(G38,-CFF.NumLinha,0)+1,OFFSET(G38,-CFF.NumLinha,0)))</f>
        <v>0</v>
      </c>
      <c r="H38" s="184">
        <f ca="1">IF(AND($C38&lt;=3,$C38&lt;&gt;0),0,IF($C38=4,OFFSET(H38,-CFF.NumLinha,0)+1,OFFSET(H38,-CFF.NumLinha,0)))</f>
        <v>0</v>
      </c>
      <c r="I38" s="184">
        <f ca="1">MATCH(0,OFFSET($D38,1,$C38,ROW($A$45)-ROW($A38)),0)</f>
        <v>7</v>
      </c>
      <c r="J38" s="184">
        <f ca="1">MATCH(OFFSET($D38,0,$C38)+1,OFFSET($D38,1,$C38,ROW($A$45)-ROW($A38)),0)</f>
        <v>3</v>
      </c>
      <c r="K38" s="185">
        <f ca="1">ROUND(INDEX(PO!T$12:T$60,MATCH($A38,PO!$V$12:$V$60,0)),2)+10^-12</f>
        <v>1E-12</v>
      </c>
      <c r="L38" s="383"/>
      <c r="M38" s="377"/>
      <c r="N38" s="375"/>
      <c r="O38" s="204" t="s">
        <v>20</v>
      </c>
      <c r="P38" s="199">
        <f aca="true" ca="1" t="shared" si="108" ref="P38:W38">IF($B38,ROUND(P37*$N36,2),ROUND(SUMIF(OFFSET($B38,1,0,$D38),TRUE,OFFSET(P38,1,0,$D38))/SUMIF(OFFSET($B38,1,0,$D38),TRUE,OFFSET($K38,1,0,$D38))*$N36,2))</f>
        <v>0</v>
      </c>
      <c r="Q38" s="169">
        <f ca="1" t="shared" si="108"/>
        <v>0</v>
      </c>
      <c r="R38" s="169">
        <f ca="1" t="shared" si="108"/>
        <v>0</v>
      </c>
      <c r="S38" s="169">
        <f ca="1" t="shared" si="108"/>
        <v>0</v>
      </c>
      <c r="T38" s="169">
        <f ca="1" t="shared" si="108"/>
        <v>0</v>
      </c>
      <c r="U38" s="169">
        <f ca="1" t="shared" si="108"/>
        <v>0</v>
      </c>
      <c r="V38" s="169">
        <f ca="1" t="shared" si="108"/>
        <v>0</v>
      </c>
      <c r="W38" s="207">
        <f ca="1" t="shared" si="108"/>
        <v>0</v>
      </c>
      <c r="X38" s="196"/>
      <c r="AC38" s="169">
        <f aca="true" ca="1" t="shared" si="109" ref="AC38">IF($B38,ROUND(AC37*$N36,2),ROUND(SUMIF(OFFSET($B38,1,0,$D38),TRUE,OFFSET(AC38,1,0,$D38))/SUMIF(OFFSET($B38,1,0,$D38),TRUE,OFFSET($K38,1,0,$D38))*$N36,2))</f>
        <v>0</v>
      </c>
    </row>
    <row r="39" spans="1:29" ht="14.25" customHeight="1">
      <c r="A39" s="82"/>
      <c r="B39" s="82"/>
      <c r="C39" s="82"/>
      <c r="D39" s="82"/>
      <c r="E39" s="82"/>
      <c r="F39" s="82"/>
      <c r="G39" s="82"/>
      <c r="H39" s="82"/>
      <c r="I39" s="82"/>
      <c r="J39" s="82"/>
      <c r="K39" s="82"/>
      <c r="L39" s="382" t="str">
        <f ca="1">INDEX(PO!K$12:K$60,MATCH($A41,PO!$V$12:$V$60,0))</f>
        <v>1.7.</v>
      </c>
      <c r="M39" s="376" t="str">
        <f ca="1">INDEX(PO!N$12:N$60,MATCH($A41,PO!$V$12:$V$60,0))</f>
        <v>ENSAIOS TÉCNICOS</v>
      </c>
      <c r="N39" s="374">
        <f aca="true" t="shared" si="110" ref="N39">IF(ROUND(K41,2)=0,K41,ROUND(K41,2))</f>
        <v>1E-12</v>
      </c>
      <c r="O39" s="220" t="s">
        <v>143</v>
      </c>
      <c r="P39" s="226">
        <f aca="true" t="shared" si="111" ref="P39">IF($B41,0,P40-IF(ISNUMBER(O40),O40,0))</f>
        <v>0</v>
      </c>
      <c r="Q39" s="227">
        <f aca="true" t="shared" si="112" ref="Q39">IF($B41,0,Q40-IF(ISNUMBER(P40),P40,0))</f>
        <v>0</v>
      </c>
      <c r="R39" s="227">
        <v>0.16</v>
      </c>
      <c r="S39" s="227">
        <v>0.16</v>
      </c>
      <c r="T39" s="227">
        <v>0.16</v>
      </c>
      <c r="U39" s="227">
        <v>0.16</v>
      </c>
      <c r="V39" s="227">
        <v>0.16</v>
      </c>
      <c r="W39" s="227">
        <v>0.2</v>
      </c>
      <c r="X39" s="196"/>
      <c r="AC39" s="221">
        <f aca="true" t="shared" si="113" ref="AC39">IF($B41,0,AC40-IF(ISNUMBER(AB40),AB40,0))</f>
        <v>0</v>
      </c>
    </row>
    <row r="40" spans="1:29" ht="13.8">
      <c r="A40" s="184"/>
      <c r="B40" s="184"/>
      <c r="C40" s="184"/>
      <c r="D40" s="184"/>
      <c r="E40" s="184"/>
      <c r="F40" s="184"/>
      <c r="G40" s="184"/>
      <c r="H40" s="184"/>
      <c r="I40" s="184"/>
      <c r="J40" s="184"/>
      <c r="K40" s="184"/>
      <c r="L40" s="383"/>
      <c r="M40" s="377"/>
      <c r="N40" s="375"/>
      <c r="O40" s="170" t="s">
        <v>145</v>
      </c>
      <c r="P40" s="198">
        <f aca="true" t="shared" si="114" ref="P40">MIN(IF($B41,P39+IF(ISNUMBER(O40),O40,0),P41/$N39),1)</f>
        <v>0</v>
      </c>
      <c r="Q40" s="168">
        <f aca="true" t="shared" si="115" ref="Q40">MIN(IF($B41,Q39+IF(ISNUMBER(P40),P40,0),Q41/$N39),1)</f>
        <v>0</v>
      </c>
      <c r="R40" s="168">
        <f aca="true" t="shared" si="116" ref="R40">MIN(IF($B41,R39+IF(ISNUMBER(Q40),Q40,0),R41/$N39),1)</f>
        <v>0.16</v>
      </c>
      <c r="S40" s="168">
        <f aca="true" t="shared" si="117" ref="S40">MIN(IF($B41,S39+IF(ISNUMBER(R40),R40,0),S41/$N39),1)</f>
        <v>0.32</v>
      </c>
      <c r="T40" s="168">
        <f aca="true" t="shared" si="118" ref="T40">MIN(IF($B41,T39+IF(ISNUMBER(S40),S40,0),T41/$N39),1)</f>
        <v>0.48</v>
      </c>
      <c r="U40" s="168">
        <f aca="true" t="shared" si="119" ref="U40">MIN(IF($B41,U39+IF(ISNUMBER(T40),T40,0),U41/$N39),1)</f>
        <v>0.64</v>
      </c>
      <c r="V40" s="168">
        <f aca="true" t="shared" si="120" ref="V40">MIN(IF($B41,V39+IF(ISNUMBER(U40),U40,0),V41/$N39),1)</f>
        <v>0.8</v>
      </c>
      <c r="W40" s="168">
        <f aca="true" t="shared" si="121" ref="W40">MIN(IF($B41,W39+IF(ISNUMBER(V40),V40,0),W41/$N39),1)</f>
        <v>1</v>
      </c>
      <c r="X40" s="196"/>
      <c r="AC40" s="168">
        <f aca="true" t="shared" si="122" ref="AC40">MIN(IF($B41,AC39+IF(ISNUMBER(AB40),AB40,0),AC41/$N39),1)</f>
        <v>0</v>
      </c>
    </row>
    <row r="41" spans="1:29" ht="13.8">
      <c r="A41" s="184">
        <f ca="1">OFFSET(A41,-CFF.NumLinha,0)+1</f>
        <v>8</v>
      </c>
      <c r="B41" s="184" t="b">
        <f ca="1">$C41&gt;=OFFSET($C41,CFF.NumLinha,0)</f>
        <v>1</v>
      </c>
      <c r="C41" s="184">
        <f ca="1">INDEX(PO!A$12:A$60,MATCH($A41,PO!$V$12:$V$60,0))</f>
        <v>2</v>
      </c>
      <c r="D41" s="184">
        <f aca="true" t="shared" si="123" ref="D41">IF(ISERROR(J41),I41,SMALL(I41:J41,1))-1</f>
        <v>2</v>
      </c>
      <c r="E41" s="184">
        <f ca="1">IF($C41=1,OFFSET(E41,-CFF.NumLinha,0)+1,OFFSET(E41,-CFF.NumLinha,0))</f>
        <v>1</v>
      </c>
      <c r="F41" s="184">
        <f ca="1">IF($C41=1,0,IF($C41=2,OFFSET(F41,-CFF.NumLinha,0)+1,OFFSET(F41,-CFF.NumLinha,0)))</f>
        <v>7</v>
      </c>
      <c r="G41" s="184">
        <f ca="1">IF(AND($C41&lt;=2,$C41&lt;&gt;0),0,IF($C41=3,OFFSET(G41,-CFF.NumLinha,0)+1,OFFSET(G41,-CFF.NumLinha,0)))</f>
        <v>0</v>
      </c>
      <c r="H41" s="184">
        <f ca="1">IF(AND($C41&lt;=3,$C41&lt;&gt;0),0,IF($C41=4,OFFSET(H41,-CFF.NumLinha,0)+1,OFFSET(H41,-CFF.NumLinha,0)))</f>
        <v>0</v>
      </c>
      <c r="I41" s="184">
        <f ca="1">MATCH(0,OFFSET($D41,1,$C41,ROW($A$45)-ROW($A41)),0)</f>
        <v>4</v>
      </c>
      <c r="J41" s="184">
        <f ca="1">MATCH(OFFSET($D41,0,$C41)+1,OFFSET($D41,1,$C41,ROW($A$45)-ROW($A41)),0)</f>
        <v>3</v>
      </c>
      <c r="K41" s="185">
        <f ca="1">ROUND(INDEX(PO!T$12:T$60,MATCH($A41,PO!$V$12:$V$60,0)),2)+10^-12</f>
        <v>1E-12</v>
      </c>
      <c r="L41" s="383"/>
      <c r="M41" s="377"/>
      <c r="N41" s="375"/>
      <c r="O41" s="204" t="s">
        <v>20</v>
      </c>
      <c r="P41" s="199">
        <f aca="true" ca="1" t="shared" si="124" ref="P41:W41">IF($B41,ROUND(P40*$N39,2),ROUND(SUMIF(OFFSET($B41,1,0,$D41),TRUE,OFFSET(P41,1,0,$D41))/SUMIF(OFFSET($B41,1,0,$D41),TRUE,OFFSET($K41,1,0,$D41))*$N39,2))</f>
        <v>0</v>
      </c>
      <c r="Q41" s="169">
        <f ca="1" t="shared" si="124"/>
        <v>0</v>
      </c>
      <c r="R41" s="169">
        <f ca="1" t="shared" si="124"/>
        <v>0</v>
      </c>
      <c r="S41" s="169">
        <f ca="1" t="shared" si="124"/>
        <v>0</v>
      </c>
      <c r="T41" s="169">
        <f ca="1" t="shared" si="124"/>
        <v>0</v>
      </c>
      <c r="U41" s="169">
        <f ca="1" t="shared" si="124"/>
        <v>0</v>
      </c>
      <c r="V41" s="169">
        <f ca="1" t="shared" si="124"/>
        <v>0</v>
      </c>
      <c r="W41" s="207">
        <f ca="1" t="shared" si="124"/>
        <v>0</v>
      </c>
      <c r="X41" s="196"/>
      <c r="AC41" s="169">
        <f aca="true" ca="1" t="shared" si="125" ref="AC41">IF($B41,ROUND(AC40*$N39,2),ROUND(SUMIF(OFFSET($B41,1,0,$D41),TRUE,OFFSET(AC41,1,0,$D41))/SUMIF(OFFSET($B41,1,0,$D41),TRUE,OFFSET($K41,1,0,$D41))*$N39,2))</f>
        <v>0</v>
      </c>
    </row>
    <row r="42" spans="1:29" ht="14.25" customHeight="1">
      <c r="A42" s="82"/>
      <c r="B42" s="82"/>
      <c r="C42" s="82"/>
      <c r="D42" s="82"/>
      <c r="E42" s="82"/>
      <c r="F42" s="82"/>
      <c r="G42" s="82"/>
      <c r="H42" s="82"/>
      <c r="I42" s="82"/>
      <c r="J42" s="82"/>
      <c r="K42" s="82"/>
      <c r="L42" s="382" t="str">
        <f ca="1">INDEX(PO!K$12:K$60,MATCH($A44,PO!$V$12:$V$60,0))</f>
        <v>1.8.</v>
      </c>
      <c r="M42" s="376" t="str">
        <f ca="1">INDEX(PO!N$12:N$60,MATCH($A44,PO!$V$12:$V$60,0))</f>
        <v>MEIO FIO</v>
      </c>
      <c r="N42" s="374">
        <f aca="true" t="shared" si="126" ref="N42">IF(ROUND(K44,2)=0,K44,ROUND(K44,2))</f>
        <v>1E-12</v>
      </c>
      <c r="O42" s="220" t="s">
        <v>143</v>
      </c>
      <c r="P42" s="226">
        <f aca="true" t="shared" si="127" ref="P42">IF($B44,0,P43-IF(ISNUMBER(O43),O43,0))</f>
        <v>0</v>
      </c>
      <c r="Q42" s="227">
        <f aca="true" t="shared" si="128" ref="Q42">IF($B44,0,Q43-IF(ISNUMBER(P43),P43,0))</f>
        <v>0</v>
      </c>
      <c r="R42" s="227">
        <f aca="true" t="shared" si="129" ref="R42">IF($B44,0,R43-IF(ISNUMBER(Q43),Q43,0))</f>
        <v>0</v>
      </c>
      <c r="S42" s="227">
        <f aca="true" t="shared" si="130" ref="S42">IF($B44,0,S43-IF(ISNUMBER(R43),R43,0))</f>
        <v>0</v>
      </c>
      <c r="T42" s="227">
        <f aca="true" t="shared" si="131" ref="T42">IF($B44,0,T43-IF(ISNUMBER(S43),S43,0))</f>
        <v>0</v>
      </c>
      <c r="U42" s="227">
        <f aca="true" t="shared" si="132" ref="U42">IF($B44,0,U43-IF(ISNUMBER(T43),T43,0))</f>
        <v>0</v>
      </c>
      <c r="V42" s="227">
        <v>0.5</v>
      </c>
      <c r="W42" s="227">
        <v>0.5</v>
      </c>
      <c r="X42" s="196"/>
      <c r="AC42" s="221">
        <f aca="true" t="shared" si="133" ref="AC42">IF($B44,0,AC43-IF(ISNUMBER(AB43),AB43,0))</f>
        <v>0</v>
      </c>
    </row>
    <row r="43" spans="1:29" ht="13.8">
      <c r="A43" s="184"/>
      <c r="B43" s="184"/>
      <c r="C43" s="184"/>
      <c r="D43" s="184"/>
      <c r="E43" s="184"/>
      <c r="F43" s="184"/>
      <c r="G43" s="184"/>
      <c r="H43" s="184"/>
      <c r="I43" s="184"/>
      <c r="J43" s="184"/>
      <c r="K43" s="184"/>
      <c r="L43" s="383"/>
      <c r="M43" s="377"/>
      <c r="N43" s="375"/>
      <c r="O43" s="170" t="s">
        <v>145</v>
      </c>
      <c r="P43" s="198">
        <f aca="true" t="shared" si="134" ref="P43">MIN(IF($B44,P42+IF(ISNUMBER(O43),O43,0),P44/$N42),1)</f>
        <v>0</v>
      </c>
      <c r="Q43" s="168">
        <f aca="true" t="shared" si="135" ref="Q43">MIN(IF($B44,Q42+IF(ISNUMBER(P43),P43,0),Q44/$N42),1)</f>
        <v>0</v>
      </c>
      <c r="R43" s="168">
        <f aca="true" t="shared" si="136" ref="R43">MIN(IF($B44,R42+IF(ISNUMBER(Q43),Q43,0),R44/$N42),1)</f>
        <v>0</v>
      </c>
      <c r="S43" s="168">
        <f aca="true" t="shared" si="137" ref="S43">MIN(IF($B44,S42+IF(ISNUMBER(R43),R43,0),S44/$N42),1)</f>
        <v>0</v>
      </c>
      <c r="T43" s="168">
        <f aca="true" t="shared" si="138" ref="T43">MIN(IF($B44,T42+IF(ISNUMBER(S43),S43,0),T44/$N42),1)</f>
        <v>0</v>
      </c>
      <c r="U43" s="168">
        <f aca="true" t="shared" si="139" ref="U43">MIN(IF($B44,U42+IF(ISNUMBER(T43),T43,0),U44/$N42),1)</f>
        <v>0</v>
      </c>
      <c r="V43" s="168">
        <f aca="true" t="shared" si="140" ref="V43">MIN(IF($B44,V42+IF(ISNUMBER(U43),U43,0),V44/$N42),1)</f>
        <v>0.5</v>
      </c>
      <c r="W43" s="168">
        <f aca="true" t="shared" si="141" ref="W43">MIN(IF($B44,W42+IF(ISNUMBER(V43),V43,0),W44/$N42),1)</f>
        <v>1</v>
      </c>
      <c r="X43" s="196"/>
      <c r="AC43" s="168">
        <f aca="true" t="shared" si="142" ref="AC43">MIN(IF($B44,AC42+IF(ISNUMBER(AB43),AB43,0),AC44/$N42),1)</f>
        <v>0</v>
      </c>
    </row>
    <row r="44" spans="1:29" ht="13.8">
      <c r="A44" s="184">
        <f ca="1">OFFSET(A44,-CFF.NumLinha,0)+1</f>
        <v>9</v>
      </c>
      <c r="B44" s="184" t="b">
        <f ca="1">$C44&gt;=OFFSET($C44,CFF.NumLinha,0)</f>
        <v>1</v>
      </c>
      <c r="C44" s="184">
        <f ca="1">INDEX(PO!A$12:A$60,MATCH($A44,PO!$V$12:$V$60,0))</f>
        <v>2</v>
      </c>
      <c r="D44" s="184">
        <f aca="true" t="shared" si="143" ref="D44">IF(ISERROR(J44),I44,SMALL(I44:J44,1))-1</f>
        <v>0</v>
      </c>
      <c r="E44" s="184">
        <f ca="1">IF($C44=1,OFFSET(E44,-CFF.NumLinha,0)+1,OFFSET(E44,-CFF.NumLinha,0))</f>
        <v>1</v>
      </c>
      <c r="F44" s="184">
        <f ca="1">IF($C44=1,0,IF($C44=2,OFFSET(F44,-CFF.NumLinha,0)+1,OFFSET(F44,-CFF.NumLinha,0)))</f>
        <v>8</v>
      </c>
      <c r="G44" s="184">
        <f ca="1">IF(AND($C44&lt;=2,$C44&lt;&gt;0),0,IF($C44=3,OFFSET(G44,-CFF.NumLinha,0)+1,OFFSET(G44,-CFF.NumLinha,0)))</f>
        <v>0</v>
      </c>
      <c r="H44" s="184">
        <f ca="1">IF(AND($C44&lt;=3,$C44&lt;&gt;0),0,IF($C44=4,OFFSET(H44,-CFF.NumLinha,0)+1,OFFSET(H44,-CFF.NumLinha,0)))</f>
        <v>0</v>
      </c>
      <c r="I44" s="184">
        <f ca="1">MATCH(0,OFFSET($D44,1,$C44,ROW($A$45)-ROW($A44)),0)</f>
        <v>1</v>
      </c>
      <c r="J44" s="184" t="e">
        <f ca="1">MATCH(OFFSET($D44,0,$C44)+1,OFFSET($D44,1,$C44,ROW($A$45)-ROW($A44)),0)</f>
        <v>#N/A</v>
      </c>
      <c r="K44" s="185">
        <f ca="1">ROUND(INDEX(PO!T$12:T$60,MATCH($A44,PO!$V$12:$V$60,0)),2)+10^-12</f>
        <v>1E-12</v>
      </c>
      <c r="L44" s="383"/>
      <c r="M44" s="377"/>
      <c r="N44" s="375"/>
      <c r="O44" s="204" t="s">
        <v>20</v>
      </c>
      <c r="P44" s="199">
        <f aca="true" ca="1" t="shared" si="144" ref="P44:W44">IF($B44,ROUND(P43*$N42,2),ROUND(SUMIF(OFFSET($B44,1,0,$D44),TRUE,OFFSET(P44,1,0,$D44))/SUMIF(OFFSET($B44,1,0,$D44),TRUE,OFFSET($K44,1,0,$D44))*$N42,2))</f>
        <v>0</v>
      </c>
      <c r="Q44" s="169">
        <f ca="1" t="shared" si="144"/>
        <v>0</v>
      </c>
      <c r="R44" s="169">
        <f ca="1" t="shared" si="144"/>
        <v>0</v>
      </c>
      <c r="S44" s="169">
        <f ca="1" t="shared" si="144"/>
        <v>0</v>
      </c>
      <c r="T44" s="169">
        <f ca="1" t="shared" si="144"/>
        <v>0</v>
      </c>
      <c r="U44" s="169">
        <f ca="1" t="shared" si="144"/>
        <v>0</v>
      </c>
      <c r="V44" s="169">
        <f ca="1" t="shared" si="144"/>
        <v>0</v>
      </c>
      <c r="W44" s="207">
        <f ca="1" t="shared" si="144"/>
        <v>0</v>
      </c>
      <c r="X44" s="196"/>
      <c r="AC44" s="169">
        <f aca="true" ca="1" t="shared" si="145" ref="AC44">IF($B44,ROUND(AC43*$N42,2),ROUND(SUMIF(OFFSET($B44,1,0,$D44),TRUE,OFFSET(AC44,1,0,$D44))/SUMIF(OFFSET($B44,1,0,$D44),TRUE,OFFSET($K44,1,0,$D44))*$N42,2))</f>
        <v>0</v>
      </c>
    </row>
    <row r="45" spans="1:29" s="45" customFormat="1" ht="12.75" customHeight="1">
      <c r="A45" s="1"/>
      <c r="B45" s="1"/>
      <c r="C45" s="184">
        <v>-1</v>
      </c>
      <c r="D45" s="184"/>
      <c r="E45" s="184">
        <v>0</v>
      </c>
      <c r="F45" s="184">
        <v>0</v>
      </c>
      <c r="G45" s="184">
        <v>0</v>
      </c>
      <c r="H45" s="184">
        <v>0</v>
      </c>
      <c r="I45" s="1"/>
      <c r="J45" s="1"/>
      <c r="K45" s="1"/>
      <c r="L45" s="154"/>
      <c r="M45" s="154"/>
      <c r="N45" s="155"/>
      <c r="O45" s="154"/>
      <c r="P45" s="154"/>
      <c r="Q45" s="155"/>
      <c r="R45" s="154"/>
      <c r="S45" s="154"/>
      <c r="T45" s="154"/>
      <c r="U45" s="154"/>
      <c r="V45" s="154"/>
      <c r="W45" s="154"/>
      <c r="X45" s="186"/>
      <c r="AC45" s="154"/>
    </row>
    <row r="46" spans="1:29" ht="12" customHeight="1">
      <c r="A46" s="1"/>
      <c r="B46" s="1"/>
      <c r="C46" s="1"/>
      <c r="D46" s="1"/>
      <c r="E46" s="1"/>
      <c r="F46" s="1"/>
      <c r="G46" s="1"/>
      <c r="H46" s="1"/>
      <c r="I46" s="1"/>
      <c r="J46" s="1"/>
      <c r="K46" s="1"/>
      <c r="L46" s="187"/>
      <c r="M46" s="187"/>
      <c r="N46" s="187"/>
      <c r="O46" s="187"/>
      <c r="P46" s="187"/>
      <c r="Q46" s="187"/>
      <c r="R46" s="187"/>
      <c r="S46" s="187"/>
      <c r="T46" s="187"/>
      <c r="U46" s="187"/>
      <c r="V46" s="187"/>
      <c r="W46" s="187"/>
      <c r="X46" s="188"/>
      <c r="AC46" s="187"/>
    </row>
    <row r="47" spans="1:29" ht="12.75">
      <c r="A47" s="1"/>
      <c r="B47" s="1"/>
      <c r="C47" s="1"/>
      <c r="D47" s="1"/>
      <c r="E47" s="1"/>
      <c r="F47" s="1"/>
      <c r="G47" s="1"/>
      <c r="H47" s="1"/>
      <c r="I47" s="1"/>
      <c r="J47" s="1"/>
      <c r="K47" s="1"/>
      <c r="L47" s="381">
        <f>DADOS!I32</f>
        <v>0</v>
      </c>
      <c r="M47" s="381"/>
      <c r="N47" s="381"/>
      <c r="O47" s="187"/>
      <c r="P47" s="189"/>
      <c r="Q47" s="378"/>
      <c r="R47" s="378"/>
      <c r="S47" s="378"/>
      <c r="T47" s="187"/>
      <c r="U47" s="187"/>
      <c r="V47" s="187"/>
      <c r="W47" s="187"/>
      <c r="X47" s="188"/>
      <c r="AC47" s="187"/>
    </row>
    <row r="48" spans="1:29" ht="12.75">
      <c r="A48" s="1"/>
      <c r="B48" s="1"/>
      <c r="C48" s="1"/>
      <c r="D48" s="1"/>
      <c r="E48" s="1"/>
      <c r="F48" s="1"/>
      <c r="G48" s="1"/>
      <c r="H48" s="1"/>
      <c r="I48" s="1"/>
      <c r="J48" s="1"/>
      <c r="K48" s="1"/>
      <c r="L48" s="190" t="s">
        <v>120</v>
      </c>
      <c r="M48" s="380"/>
      <c r="N48" s="380"/>
      <c r="O48" s="187"/>
      <c r="P48" s="189"/>
      <c r="Q48" s="378"/>
      <c r="R48" s="378"/>
      <c r="S48" s="378"/>
      <c r="T48" s="187"/>
      <c r="U48" s="187"/>
      <c r="V48" s="187"/>
      <c r="W48" s="187"/>
      <c r="X48" s="188"/>
      <c r="AC48" s="187"/>
    </row>
    <row r="49" spans="1:29" ht="12.75">
      <c r="A49" s="1"/>
      <c r="B49" s="1"/>
      <c r="C49" s="1"/>
      <c r="D49" s="1"/>
      <c r="E49" s="1"/>
      <c r="F49" s="1"/>
      <c r="G49" s="1"/>
      <c r="H49" s="1"/>
      <c r="I49" s="1"/>
      <c r="J49" s="1"/>
      <c r="K49" s="1"/>
      <c r="L49" s="189"/>
      <c r="M49" s="379"/>
      <c r="N49" s="380"/>
      <c r="O49" s="187"/>
      <c r="P49" s="189"/>
      <c r="Q49" s="378"/>
      <c r="R49" s="378"/>
      <c r="S49" s="378"/>
      <c r="T49" s="187"/>
      <c r="U49" s="187"/>
      <c r="V49" s="187"/>
      <c r="W49" s="187"/>
      <c r="X49" s="188"/>
      <c r="AC49" s="187"/>
    </row>
    <row r="50" spans="1:29" ht="12.75">
      <c r="A50" s="1"/>
      <c r="B50" s="1"/>
      <c r="C50" s="1"/>
      <c r="D50" s="1"/>
      <c r="E50" s="1"/>
      <c r="F50" s="1"/>
      <c r="G50" s="1"/>
      <c r="H50" s="1"/>
      <c r="I50" s="1"/>
      <c r="J50" s="1"/>
      <c r="K50" s="1"/>
      <c r="L50" s="384">
        <f ca="1">PO!K74</f>
        <v>43061</v>
      </c>
      <c r="M50" s="384"/>
      <c r="N50" s="384"/>
      <c r="O50" s="187"/>
      <c r="P50" s="187"/>
      <c r="Q50" s="187"/>
      <c r="R50" s="187"/>
      <c r="S50" s="187"/>
      <c r="T50" s="187"/>
      <c r="U50" s="187"/>
      <c r="V50" s="187"/>
      <c r="W50" s="187"/>
      <c r="X50" s="191"/>
      <c r="AC50" s="187"/>
    </row>
    <row r="51" spans="1:29" ht="12.75">
      <c r="A51" s="1"/>
      <c r="B51" s="1"/>
      <c r="C51" s="1"/>
      <c r="D51" s="1"/>
      <c r="E51" s="1"/>
      <c r="F51" s="1"/>
      <c r="G51" s="1"/>
      <c r="H51" s="1"/>
      <c r="I51" s="1"/>
      <c r="J51" s="1"/>
      <c r="K51" s="1"/>
      <c r="L51" s="192" t="s">
        <v>121</v>
      </c>
      <c r="M51" s="193"/>
      <c r="N51" s="193"/>
      <c r="O51" s="187"/>
      <c r="P51" s="187"/>
      <c r="Q51" s="187"/>
      <c r="R51" s="187"/>
      <c r="S51" s="187"/>
      <c r="T51" s="187"/>
      <c r="U51" s="187"/>
      <c r="V51" s="187"/>
      <c r="W51" s="187"/>
      <c r="X51" s="191"/>
      <c r="AC51" s="187"/>
    </row>
    <row r="52" spans="1:29" ht="12.75">
      <c r="A52" s="1"/>
      <c r="B52" s="1"/>
      <c r="C52" s="1"/>
      <c r="D52" s="1"/>
      <c r="E52" s="1"/>
      <c r="F52" s="1"/>
      <c r="G52" s="1"/>
      <c r="H52" s="1"/>
      <c r="I52" s="1"/>
      <c r="J52" s="1"/>
      <c r="K52" s="1"/>
      <c r="L52" s="187"/>
      <c r="M52" s="187"/>
      <c r="N52" s="187"/>
      <c r="O52" s="187"/>
      <c r="P52" s="187"/>
      <c r="Q52" s="187"/>
      <c r="R52" s="187"/>
      <c r="S52" s="187"/>
      <c r="T52" s="187"/>
      <c r="U52" s="187"/>
      <c r="V52" s="187"/>
      <c r="W52" s="187"/>
      <c r="X52" s="191"/>
      <c r="AC52" s="187"/>
    </row>
    <row r="53" spans="1:29" ht="12.75">
      <c r="A53" s="1"/>
      <c r="B53" s="1"/>
      <c r="C53" s="1"/>
      <c r="D53" s="1"/>
      <c r="E53" s="1"/>
      <c r="F53" s="1"/>
      <c r="G53" s="1"/>
      <c r="H53" s="1"/>
      <c r="I53" s="1"/>
      <c r="J53" s="1"/>
      <c r="K53" s="1"/>
      <c r="L53" s="187"/>
      <c r="M53" s="187"/>
      <c r="N53" s="194"/>
      <c r="O53" s="187"/>
      <c r="P53" s="187"/>
      <c r="Q53" s="187"/>
      <c r="R53" s="187"/>
      <c r="S53" s="187"/>
      <c r="T53" s="187"/>
      <c r="U53" s="187"/>
      <c r="V53" s="187"/>
      <c r="W53" s="187"/>
      <c r="X53" s="188"/>
      <c r="AC53" s="187"/>
    </row>
    <row r="54" spans="1:29" ht="12.75">
      <c r="A54" s="1"/>
      <c r="B54" s="1"/>
      <c r="C54" s="1"/>
      <c r="D54" s="1"/>
      <c r="E54" s="1"/>
      <c r="F54" s="1"/>
      <c r="G54" s="1"/>
      <c r="H54" s="1"/>
      <c r="I54" s="1"/>
      <c r="J54" s="1"/>
      <c r="K54" s="1"/>
      <c r="L54" s="187"/>
      <c r="M54" s="187"/>
      <c r="N54" s="194"/>
      <c r="O54" s="187"/>
      <c r="P54" s="187"/>
      <c r="Q54" s="187"/>
      <c r="R54" s="187"/>
      <c r="S54" s="187"/>
      <c r="T54" s="187"/>
      <c r="U54" s="187"/>
      <c r="V54" s="187"/>
      <c r="W54" s="187"/>
      <c r="X54" s="188"/>
      <c r="AC54" s="187"/>
    </row>
    <row r="55" spans="1:29" ht="12.75">
      <c r="A55" s="1"/>
      <c r="B55" s="1"/>
      <c r="C55" s="1"/>
      <c r="D55" s="1"/>
      <c r="E55" s="1"/>
      <c r="F55" s="1"/>
      <c r="G55" s="1"/>
      <c r="H55" s="1"/>
      <c r="I55" s="1"/>
      <c r="J55" s="1"/>
      <c r="K55" s="1"/>
      <c r="L55" s="82"/>
      <c r="M55" s="82"/>
      <c r="N55" s="7"/>
      <c r="O55" s="82"/>
      <c r="P55" s="82"/>
      <c r="Q55" s="82"/>
      <c r="R55" s="82"/>
      <c r="S55" s="82"/>
      <c r="T55" s="82"/>
      <c r="U55" s="82"/>
      <c r="V55" s="82"/>
      <c r="W55" s="187"/>
      <c r="X55" s="188"/>
      <c r="AC55" s="82"/>
    </row>
  </sheetData>
  <sheetProtection algorithmName="SHA-512" hashValue="Vkoo55dXXarza+1k4EfIG6866n/ypXDlvEni5Wk5hdaTucrzgBN44h0dr31kDdMI9wP9m5zj4XovOPWNavZ1gA==" saltValue="v7YBhS/+8gk7ksV00U+e9g==" spinCount="100000" sheet="1" objects="1" scenarios="1"/>
  <mergeCells count="40">
    <mergeCell ref="L42:L44"/>
    <mergeCell ref="M42:M44"/>
    <mergeCell ref="N42:N44"/>
    <mergeCell ref="M36:M38"/>
    <mergeCell ref="N36:N38"/>
    <mergeCell ref="L39:L41"/>
    <mergeCell ref="M39:M41"/>
    <mergeCell ref="N39:N41"/>
    <mergeCell ref="L50:N50"/>
    <mergeCell ref="L11:L13"/>
    <mergeCell ref="M11:M13"/>
    <mergeCell ref="L14:M17"/>
    <mergeCell ref="N14:N17"/>
    <mergeCell ref="L18:L20"/>
    <mergeCell ref="L21:L23"/>
    <mergeCell ref="M21:M23"/>
    <mergeCell ref="N21:N23"/>
    <mergeCell ref="L24:L26"/>
    <mergeCell ref="M24:M26"/>
    <mergeCell ref="N24:N26"/>
    <mergeCell ref="L27:L29"/>
    <mergeCell ref="M27:M29"/>
    <mergeCell ref="N27:N29"/>
    <mergeCell ref="L30:L32"/>
    <mergeCell ref="L8:M8"/>
    <mergeCell ref="N11:N13"/>
    <mergeCell ref="M18:M20"/>
    <mergeCell ref="N18:N20"/>
    <mergeCell ref="Q49:S49"/>
    <mergeCell ref="M49:N49"/>
    <mergeCell ref="Q48:S48"/>
    <mergeCell ref="Q47:S47"/>
    <mergeCell ref="L47:N47"/>
    <mergeCell ref="M48:N48"/>
    <mergeCell ref="M30:M32"/>
    <mergeCell ref="N30:N32"/>
    <mergeCell ref="L33:L35"/>
    <mergeCell ref="M33:M35"/>
    <mergeCell ref="N33:N35"/>
    <mergeCell ref="L36:L38"/>
  </mergeCells>
  <conditionalFormatting sqref="L11:N11 L12:M13 L18:N18">
    <cfRule type="expression" priority="1020" dxfId="0" stopIfTrue="1">
      <formula>$C13=1</formula>
    </cfRule>
  </conditionalFormatting>
  <conditionalFormatting sqref="O11 O18">
    <cfRule type="expression" priority="1092" dxfId="4" stopIfTrue="1">
      <formula>$B13=FALSE</formula>
    </cfRule>
    <cfRule type="expression" priority="1093" dxfId="3" stopIfTrue="1">
      <formula>$C13=1</formula>
    </cfRule>
  </conditionalFormatting>
  <conditionalFormatting sqref="P12:W12 P19:W19 AC12 AC19 P22:W22 P25:W25 P28:W28 P31:W31 P34:W34 P37:W37 P40:W40 P43:W43 AC22 AC25 AC28 AC31 AC34 AC37 AC40 AC43">
    <cfRule type="expression" priority="1082" dxfId="2" stopIfTrue="1">
      <formula>AND(ISNUMBER(O13),O13&gt;=$N11)</formula>
    </cfRule>
    <cfRule type="cellIs" priority="1083" dxfId="1" operator="notBetween" stopIfTrue="1">
      <formula>0</formula>
      <formula>1</formula>
    </cfRule>
  </conditionalFormatting>
  <conditionalFormatting sqref="P13:W13 AC13 AC20:AC44 P20:W44">
    <cfRule type="expression" priority="1084" dxfId="14" stopIfTrue="1">
      <formula>AND(ISNUMBER(O13),O13&gt;=$N11)</formula>
    </cfRule>
    <cfRule type="cellIs" priority="1085" dxfId="1" operator="notBetween" stopIfTrue="1">
      <formula>0</formula>
      <formula>$N11</formula>
    </cfRule>
  </conditionalFormatting>
  <conditionalFormatting sqref="P14:W14 AC14">
    <cfRule type="expression" priority="1086" dxfId="14" stopIfTrue="1">
      <formula>AND(ISNUMBER(O17),O17&gt;=$N14)</formula>
    </cfRule>
  </conditionalFormatting>
  <conditionalFormatting sqref="P15:W15 AC15">
    <cfRule type="expression" priority="1087" dxfId="14" stopIfTrue="1">
      <formula>AND(ISNUMBER(O17),O17&gt;=$N14)</formula>
    </cfRule>
  </conditionalFormatting>
  <conditionalFormatting sqref="P16:W16 AC16">
    <cfRule type="expression" priority="1088" dxfId="14" stopIfTrue="1">
      <formula>AND(ISNUMBER(O17),O17&gt;=$N14)</formula>
    </cfRule>
    <cfRule type="cellIs" priority="1089" dxfId="1" operator="notBetween" stopIfTrue="1">
      <formula>0</formula>
      <formula>1</formula>
    </cfRule>
  </conditionalFormatting>
  <conditionalFormatting sqref="P17:W17 AC17">
    <cfRule type="expression" priority="1090" dxfId="14" stopIfTrue="1">
      <formula>AND(ISNUMBER(O17),O17&gt;=$N14)</formula>
    </cfRule>
    <cfRule type="cellIs" priority="1091" dxfId="1" operator="notBetween" stopIfTrue="1">
      <formula>0</formula>
      <formula>$N14</formula>
    </cfRule>
  </conditionalFormatting>
  <conditionalFormatting sqref="L8">
    <cfRule type="cellIs" priority="1077" dxfId="1" operator="notEqual" stopIfTrue="1">
      <formula>""</formula>
    </cfRule>
  </conditionalFormatting>
  <conditionalFormatting sqref="N9">
    <cfRule type="expression" priority="1076" dxfId="11" stopIfTrue="1">
      <formula>TipoOrçamento&lt;&gt;"REPROGRAMADOAC"</formula>
    </cfRule>
  </conditionalFormatting>
  <conditionalFormatting sqref="L19:M44">
    <cfRule type="expression" priority="1911" dxfId="0" stopIfTrue="1">
      <formula>#REF!=1</formula>
    </cfRule>
  </conditionalFormatting>
  <conditionalFormatting sqref="P11:W11 P18:W18 AC18 AC11 P21:W21 AC21 AC24 AC27 AC30 AC33 AC36 AC39 AC42 P24:W24 P30:W30 P33:W33 P36:W36 P39:W39 P42:W42 P27:W27">
    <cfRule type="expression" priority="231" dxfId="9" stopIfTrue="1">
      <formula>AND(ISNUMBER(O13),O13&gt;=$N11)</formula>
    </cfRule>
    <cfRule type="expression" priority="232" dxfId="4" stopIfTrue="1">
      <formula>$B13=FALSE</formula>
    </cfRule>
    <cfRule type="expression" priority="233" dxfId="3" stopIfTrue="1">
      <formula>$C13=1</formula>
    </cfRule>
  </conditionalFormatting>
  <conditionalFormatting sqref="AC10 O10:W10">
    <cfRule type="expression" priority="154" dxfId="6" stopIfTrue="1">
      <formula>1=1</formula>
    </cfRule>
  </conditionalFormatting>
  <conditionalFormatting sqref="L21:N21 L24:N24 L27:N27 L30:N30 L33:N33 L36:N36 L39:N39 L42:N42 L22:M23 L25:M26 L28:M29 L31:M32 L34:M35 L37:M38 L40:M41">
    <cfRule type="expression" priority="19" dxfId="0" stopIfTrue="1">
      <formula>$C23=1</formula>
    </cfRule>
  </conditionalFormatting>
  <conditionalFormatting sqref="O21 O24 O27 O30 O33 O36 O39 O42">
    <cfRule type="expression" priority="17" dxfId="4" stopIfTrue="1">
      <formula>$B23=FALSE</formula>
    </cfRule>
    <cfRule type="expression" priority="18" dxfId="3" stopIfTrue="1">
      <formula>$C23=1</formula>
    </cfRule>
  </conditionalFormatting>
  <conditionalFormatting sqref="Q33">
    <cfRule type="expression" priority="1" dxfId="2" stopIfTrue="1">
      <formula>AND(ISNUMBER(P34),P34&gt;=$N32)</formula>
    </cfRule>
    <cfRule type="cellIs" priority="2" dxfId="1" operator="notBetween" stopIfTrue="1">
      <formula>0</formula>
      <formula>1</formula>
    </cfRule>
  </conditionalFormatting>
  <conditionalFormatting sqref="L43:M44">
    <cfRule type="expression" priority="1931" dxfId="0" stopIfTrue="1">
      <formula>#REF!=1</formula>
    </cfRule>
  </conditionalFormatting>
  <dataValidations count="2">
    <dataValidation type="decimal" allowBlank="1" showInputMessage="1" showErrorMessage="1" errorTitle="Erro de Dados" error="Digite valores maiores ou iguais à 0%. O % acumulado não deve ultrapassar 100%." sqref="P18:W18 P21:W21 AC11 AC18 P24:W24 P27:W27 P30:W30 P33:W33 P36:W36 P39:W39 P42:W42 AC21 AC24 AC27 AC30 AC33 AC36 AC39 AC42 P11:W11">
      <formula1>0</formula1>
      <formula2>1-SUM($P11:P11)+P11</formula2>
    </dataValidation>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v007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Engenharia</dc:creator>
  <cp:keywords/>
  <dc:description/>
  <cp:lastModifiedBy>User</cp:lastModifiedBy>
  <cp:lastPrinted>2017-08-18T10:59:46Z</cp:lastPrinted>
  <dcterms:created xsi:type="dcterms:W3CDTF">1998-03-27T18:43:07Z</dcterms:created>
  <dcterms:modified xsi:type="dcterms:W3CDTF">2017-11-22T13:11:33Z</dcterms:modified>
  <cp:category/>
  <cp:version/>
  <cp:contentType/>
  <cp:contentStatus/>
</cp:coreProperties>
</file>