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codeName="{FF626003-D37A-9D15-2B65-D2D8C0A508C5}"/>
  <workbookPr codeName="EstaPasta_de_trabalho"/>
  <workbookProtection workbookAlgorithmName="SHA-512" workbookHashValue="rJ42CyE+fRv3SBhDEOCxQcb2NhMMagJ2W30TbmLmy1RroUSiE48M3PoPhRC1eqDJMwWPX0ENfbZjrCwMd9swBw==" workbookSpinCount="100000" workbookSaltValue="8bU5h9J5eZjhOMnZ+u7ePw==" lockStructure="1"/>
  <bookViews>
    <workbookView xWindow="0" yWindow="0" windowWidth="23040" windowHeight="8484" activeTab="2"/>
  </bookViews>
  <sheets>
    <sheet name="DADOS" sheetId="16" r:id="rId1"/>
    <sheet name="BDI (1)" sheetId="17" state="hidden" r:id="rId2"/>
    <sheet name="PO" sheetId="12" r:id="rId3"/>
    <sheet name="PLQ" sheetId="13" state="hidden" r:id="rId4"/>
    <sheet name="CFF" sheetId="11" r:id="rId5"/>
  </sheets>
  <definedNames>
    <definedName name="_xlnm.Print_Area" localSheetId="1">'BDI (1)'!$I$1:$R$50</definedName>
    <definedName name="_xlnm.Print_Area" localSheetId="4">'CFF'!$L$1:$X$39</definedName>
    <definedName name="_xlnm.Print_Area" localSheetId="0">'DADOS'!$A$1:$X$87</definedName>
    <definedName name="_xlnm.Print_Area" localSheetId="3">'PLQ'!$B$1:$P$38</definedName>
    <definedName name="_xlnm.Print_Area" localSheetId="2">'PO'!$K$1:$T$47</definedName>
    <definedName name="DATABASE">TEXT(Import.DataBase,"mm-aaaa")</definedName>
    <definedName name="CFF.ColunaPadrão">'CFF'!$AC:$AC</definedName>
    <definedName name="CFF.Colunas">'CFF'!$P$10:$X$10</definedName>
    <definedName name="CFF.Dados">OFFSET('CFF'!$L$17,1,0):OFFSET('CFF'!$X$33,-1,-1)</definedName>
    <definedName name="CFF.IncluirLinha">MAX('PO'!$V$12:$V$32)*CFF.NumLinha-ROW('CFF'!$F$33)+ROW('CFF'!$F$17)+1</definedName>
    <definedName name="CFF.Item">OFFSET('CFF'!$L$17,1,0):OFFSET('CFF'!$X$33,-1,-1)</definedName>
    <definedName name="CFF.LinhaPadrão">'CFF'!$A$11:$W$11</definedName>
    <definedName name="CFF.NumLinha">ROW('CFF'!$D$14)-ROW('CFF'!$D$10)-1</definedName>
    <definedName name="Código" localSheetId="2">'PO'!$M1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2">'PO'!$L1</definedName>
    <definedName name="Import.Ação">'DADOS'!$J$29</definedName>
    <definedName name="Import.Apelido">'DADOS'!$Q$32</definedName>
    <definedName name="Import.CNPJ">'DADOS'!$B$57</definedName>
    <definedName name="Import.Código">OFFSET('PO'!$M$12,1,0):OFFSET('PO'!$M$32,-1,0)</definedName>
    <definedName name="Import.CR">'DADOS'!$A$29</definedName>
    <definedName name="Import.CTEF">'DADOS'!$A$43</definedName>
    <definedName name="Import.CustoUnitário">OFFSET('PO'!$Q$12,1,0):OFFSET('PO'!$Q$32,-1,0)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OFFSET('PO'!$N$12,1,0):OFFSET('PO'!$N$32,-1,0)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OFFSET('PO'!$L$12,1,0):OFFSET('PO'!$L$32,-1,0)</definedName>
    <definedName name="Import.FrenteDeObra">'PLQ'!$F$9:OFFSET('PLQ'!$P$9,0,-1)</definedName>
    <definedName name="Import.Gestor">'DADOS'!$C$29</definedName>
    <definedName name="Import.IndiceAtual">OFFSET(#REF!,1,0):OFFSET(#REF!,-1,0)</definedName>
    <definedName name="Import.IndiceCot">OFFSET(#REF!,1,0):OFFSET(#REF!,-1,0)</definedName>
    <definedName name="Import.Item">OFFSET('PO'!$K$12,1,0):OFFSET('PO'!$K$32,-1,0)</definedName>
    <definedName name="Import.Localidade">'DADOS'!$K$32</definedName>
    <definedName name="Import.LocalSINAPI">'DADOS'!$D$38</definedName>
    <definedName name="Import.Município">'DADOS'!$G$32</definedName>
    <definedName name="Import.Nível">OFFSET('PO'!$J$12,1,0):OFFSET('PO'!$J$32,-1,0)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OFFSET('PLQ'!$F$12,1,0):OFFSET('PLQ'!$P$32,-1,-1)</definedName>
    <definedName name="Import.POArred">'PO'!$X$3:$X$7</definedName>
    <definedName name="Import.PreçoTotal">OFFSET('PO'!$T$12,1,0):OFFSET('PO'!$T$32,-1,0)</definedName>
    <definedName name="Import.PreçoUnitário">OFFSET('PO'!$S$12,1,0):OFFSET('PO'!$S$32,-1,0)</definedName>
    <definedName name="Import.Programa">'DADOS'!$F$29</definedName>
    <definedName name="Import.Proponente">'DADOS'!$A$32</definedName>
    <definedName name="Import.Quantidade">OFFSET('PO'!$P$12,1,0):OFFSET('PO'!$P$32,-1,0)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OFFSET('PO'!$O$12,1,0):OFFSET('PO'!$O$32,-1,0)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OFFSET('PO'!$Z$12,1,0):OFFSET('PO'!$Z$32,-1,0)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'PO'!$K$33</definedName>
    <definedName name="linhaSINAPIxls" localSheetId="2">'PO'!$X1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'PLQ'!$B$9:OFFSET('PLQ'!$B$32,-1,0)</definedName>
    <definedName name="PLQ.LinhaPadrão">'PLQ'!$A$11:$P$11</definedName>
    <definedName name="PLQ.qtde.frentes">COUNTA('PLQ'!$F$9:$P$9)</definedName>
    <definedName name="PO.BDI">OFFSET('PO'!$R$12,1,0):OFFSET('PO'!$R$32,-1,0)</definedName>
    <definedName name="PO.CustoRef">OFFSET('PO'!$Y$12,1,0):OFFSET('PO'!$Y$32,-1,0)</definedName>
    <definedName name="PO.CustoUnitario">ROUND('PO'!$Q1,15-13*'PO'!$X$4)</definedName>
    <definedName name="PO.Dados">'PO'!$C$12:OFFSET('PO'!$Z$32,-1,0)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"LICITADO"</definedName>
    <definedName name="Versao">'DADOS'!$A$2</definedName>
    <definedName name="VTOTAL1">ROUND(PO.Quantidade*PO.PrecoUnitario,15-13*'PO'!$X$7)</definedName>
    <definedName name="_xlnm.Print_Titles" localSheetId="2">'PO'!$10:$10</definedName>
    <definedName name="_xlnm.Print_Titles" localSheetId="3">'PLQ'!$B:$E,'PLQ'!$9:$10</definedName>
    <definedName name="_xlnm.Print_Titles" localSheetId="4">'CFF'!$L:$O,'CFF'!$10:$10</definedName>
  </definedNames>
  <calcPr calcId="162913"/>
</workbook>
</file>

<file path=xl/sharedStrings.xml><?xml version="1.0" encoding="utf-8"?>
<sst xmlns="http://schemas.openxmlformats.org/spreadsheetml/2006/main" count="473" uniqueCount="282">
  <si>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</si>
  <si>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</si>
  <si>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</si>
  <si>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</si>
  <si>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</si>
  <si>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</si>
  <si>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</si>
  <si>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</si>
  <si>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</si>
  <si>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</si>
  <si>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</si>
  <si>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</si>
  <si>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</si>
  <si>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</si>
  <si>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</si>
  <si>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</si>
  <si>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</si>
  <si>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</si>
  <si>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</si>
  <si>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</si>
  <si>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</si>
  <si>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</si>
  <si>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</si>
  <si>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</si>
  <si>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</si>
  <si>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</si>
  <si>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</si>
  <si>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</si>
  <si>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</si>
  <si>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</si>
  <si>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</si>
  <si>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</si>
  <si>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</si>
  <si>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</si>
  <si>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</si>
  <si>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</si>
  <si>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</si>
  <si>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</si>
  <si>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</si>
  <si>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</si>
  <si>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</si>
  <si>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</si>
  <si>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</si>
  <si>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</si>
  <si>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</si>
  <si>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</si>
  <si>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</si>
  <si>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</si>
  <si>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</si>
  <si>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</si>
  <si>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</si>
  <si>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</si>
  <si>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</si>
  <si>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</si>
  <si>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</si>
  <si>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</si>
  <si>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</si>
  <si>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</si>
  <si>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</si>
  <si>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</si>
  <si>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</si>
  <si>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</si>
  <si>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</si>
  <si>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</si>
  <si>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</si>
  <si>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</si>
  <si>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</si>
  <si>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</si>
  <si>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</si>
  <si>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</si>
  <si>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</si>
  <si>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</si>
  <si>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</si>
  <si>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</si>
  <si>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</si>
  <si>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</si>
  <si>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</si>
  <si>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</si>
  <si>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</si>
  <si>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</si>
  <si>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</si>
  <si>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</si>
  <si>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</si>
  <si>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</si>
  <si>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</si>
  <si>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</si>
  <si>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</si>
  <si>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</si>
  <si>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</si>
  <si>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</si>
  <si>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</si>
  <si>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</si>
  <si>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</si>
  <si>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</si>
  <si>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</si>
  <si>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</si>
  <si>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</si>
  <si>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</si>
  <si>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</si>
  <si>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</si>
  <si>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</si>
  <si>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</si>
  <si>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</si>
  <si>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</si>
  <si>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</si>
  <si>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</si>
  <si>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</si>
  <si>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</si>
  <si>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</si>
  <si>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</si>
  <si>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</si>
  <si>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</si>
  <si>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</si>
  <si>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</si>
  <si>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</si>
  <si>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</si>
  <si>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</si>
  <si>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</si>
  <si>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</si>
  <si>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</si>
  <si>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</si>
  <si>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</si>
  <si>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</si>
  <si>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</si>
  <si>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</si>
  <si>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</si>
  <si>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</si>
  <si>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</si>
  <si>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</si>
  <si>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</si>
  <si>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</si>
  <si>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</si>
  <si>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</si>
  <si>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</si>
  <si>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</si>
  <si>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</si>
  <si>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</si>
  <si>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</si>
  <si>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</si>
  <si>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</si>
  <si>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</si>
  <si>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</si>
  <si>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</si>
  <si>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</si>
  <si>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</si>
  <si>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</si>
  <si>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</si>
  <si>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</si>
  <si>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</si>
  <si>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</si>
  <si>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</si>
  <si>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</si>
  <si>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</si>
  <si>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</si>
  <si>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</si>
  <si>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</si>
  <si>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</si>
  <si>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</si>
  <si>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</si>
  <si>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</si>
  <si>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</si>
  <si>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</si>
  <si>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</si>
  <si>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</si>
  <si>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</si>
  <si>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</si>
  <si>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</si>
  <si>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</si>
  <si>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</si>
  <si>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</si>
  <si>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</si>
  <si>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</si>
  <si>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</si>
  <si>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</si>
  <si>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</si>
  <si>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</si>
  <si>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</si>
  <si>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</si>
  <si>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</si>
  <si>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</si>
  <si>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</si>
  <si>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</si>
  <si>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</si>
  <si>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</si>
  <si>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</si>
  <si>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</si>
  <si>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</si>
  <si>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</si>
  <si>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</si>
  <si>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</si>
  <si>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</si>
  <si>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</si>
  <si>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</si>
  <si>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</si>
  <si>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</si>
  <si>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</si>
  <si>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</si>
  <si>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</si>
  <si>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</si>
  <si>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</si>
  <si>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</si>
  <si>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</si>
  <si>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</si>
  <si>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</si>
  <si>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</si>
  <si>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</si>
  <si>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</si>
  <si>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</si>
  <si>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</si>
  <si>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</si>
  <si>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</si>
  <si>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</si>
  <si>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</si>
  <si>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</si>
  <si>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</si>
  <si>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</si>
  <si>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</si>
  <si>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</si>
  <si>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</si>
  <si>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</si>
  <si>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</si>
  <si>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</si>
  <si>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</si>
  <si>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</si>
  <si>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</si>
  <si>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</si>
  <si>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</si>
  <si>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</si>
  <si>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</si>
  <si>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1.011.818-44/13</t>
  </si>
  <si>
    <t>MINISTÉRIO DO ESPORTE</t>
  </si>
  <si>
    <t>MUNICÍPIO DE RIQUEZA</t>
  </si>
  <si>
    <t>RIQUEZA / SC</t>
  </si>
  <si>
    <t>LINHA CONCEIÇÃO</t>
  </si>
  <si>
    <t>QUADRA COBERTA</t>
  </si>
  <si>
    <t>Sim</t>
  </si>
  <si>
    <t>NÃO</t>
  </si>
  <si>
    <t>ALVENARIA E REVESTIMENTO</t>
  </si>
  <si>
    <t>SINAPI</t>
  </si>
  <si>
    <t>95465</t>
  </si>
  <si>
    <t>87879</t>
  </si>
  <si>
    <t>VERGA E CONTRAVERGA</t>
  </si>
  <si>
    <t>93187</t>
  </si>
  <si>
    <t>93189</t>
  </si>
  <si>
    <t>93197</t>
  </si>
  <si>
    <t>ESQUADRIAS - VIDROS - PINTURA</t>
  </si>
  <si>
    <t>68054</t>
  </si>
  <si>
    <t>72117</t>
  </si>
  <si>
    <t>73924/1</t>
  </si>
  <si>
    <t>COMPOSIÇÃO</t>
  </si>
  <si>
    <t>001</t>
  </si>
  <si>
    <t>Única</t>
  </si>
  <si>
    <t>M2</t>
  </si>
  <si>
    <t>COBOGO CERAMICO (ELEMENTO VAZADO), 9X20X20CM, ASSENTADO COM ARGAMASSA TRACO 1:4 DE CIMENTO E AREIA</t>
  </si>
  <si>
    <t>CHAPISCO APLICADO EM ALVENARIAS E ESTRUTURAS DE CONCRETO INTERNAS, COM COLHER DE PEDREIRO.  ARGAMASSA TRAÇO 1:3 COM PREPARO EM BETONEIRA 400L. AF_06/2014</t>
  </si>
  <si>
    <t>VERGA MOLDADA IN LOCO EM CONCRETO PARA JANELAS COM MAIS DE 1,5 M DE VÃO. AF_03/2016</t>
  </si>
  <si>
    <t>M</t>
  </si>
  <si>
    <t>VERGA MOLDADA IN LOCO EM CONCRETO PARA PORTAS COM MAIS DE 1,5 M DE VÃO. AF_03/2016</t>
  </si>
  <si>
    <t>CONTRAVERGA MOLDADA IN LOCO EM CONCRETO PARA VÃOS DE MAIS DE 1,5 M DE COMPRIMENTO. AF_03/2016</t>
  </si>
  <si>
    <t>PORTAO DE FERRO EM CHAPA GALVANIZADA PLANA 14 GSG</t>
  </si>
  <si>
    <t>VIDRO LISO COMUM TRANSPARENTE, ESPESSURA 4MM</t>
  </si>
  <si>
    <t>PINTURA ESMALTE ALTO BRILHO, DUAS DEMAOS, SOBRE SUPERFICIE METALICA</t>
  </si>
  <si>
    <t>JANELA BASCULANTE</t>
  </si>
  <si>
    <t>M²</t>
  </si>
  <si>
    <t>RENALDO MUELLER</t>
  </si>
  <si>
    <t>PREFEITO DE RIQUEZA</t>
  </si>
  <si>
    <t>VEDAÇÃO EM ALVENARIA DA LATERAIS DA QUADRA DE ESPORTE COBERTA</t>
  </si>
  <si>
    <t>IMPLANTAÇÃO E MODERNIZAÇÃO DE INFRAESTRUTURA PARA O ESPORTE EDUCACIONAL, RECREATVIO E DE LAZER</t>
  </si>
  <si>
    <t>ESPORTE EDUCACIONAL, RECREATIVO E DE LAZER</t>
  </si>
  <si>
    <t xml:space="preserve">VEDAÇÃO EM ALVENARIA </t>
  </si>
  <si>
    <t>PLACA DE OBRA</t>
  </si>
  <si>
    <t>87523</t>
  </si>
  <si>
    <t>87529</t>
  </si>
  <si>
    <t>ALVENARIA DE VEDAÇÃO DE BLOCOS CERÂMICOS FURADOS NA HORIZONTAL DE 9X14X19CM (ESPESSURA 9CM) DE PAREDES COM ÁREA LÍQUIDA MAIOR OU IGUAL A 6M² COM VÃOS E ARGAMASSA DE ASSENTAMENTO COM PREPARO EM BETONEIRA. AF_06/2014</t>
  </si>
  <si>
    <t>MASSA ÚNICA, PARA RECEBIMENTO DE PINTURA, EM ARGAMASSA TRAÇO 1:2:8, PREPARO MECÂNICO COM BETONEIRA 400L, APLICADA MANUALMENTE EM FACES INTERNAS DE PAREDES, ESPESSURA DE 20MM, COM EXECUÇÃO DE TALISCAS. AF_06/2014</t>
  </si>
  <si>
    <t>COTAÇÃO</t>
  </si>
  <si>
    <t>002</t>
  </si>
  <si>
    <t>88485</t>
  </si>
  <si>
    <t>88489</t>
  </si>
  <si>
    <t>Reforma de Placa de obra existente com nova impressão grafica 2,00x1,25m</t>
  </si>
  <si>
    <t>APLICAÇÃO DE FUNDO SELADOR ACRÍLICO NAS FACHADAS INTERNAS E EXTERNAS, UMA DEMÃO. AF_06/2014</t>
  </si>
  <si>
    <t>APLICAÇÃO MANUAL DE PINTURA COM TINTA LÁTEX ACRÍLICA NAS FACHADAS INTERNAS E EXTERNAS, DUAS DEMÃOS. AF_06/2014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</si>
</sst>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48">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b/>
      <sz val="9"/>
      <color rgb="FF000000"/>
      <name val="Arial"/>
      <family val="2"/>
    </font>
    <font>
      <b/>
      <sz val="10"/>
      <color rgb="FF00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style="medium"/>
      <right/>
      <top/>
      <bottom/>
    </border>
    <border>
      <left/>
      <right style="thin"/>
      <top style="thin"/>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2"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65"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0" fontId="12" fillId="0" borderId="0" applyNumberFormat="0" applyFill="0" applyBorder="0" applyAlignment="0" applyProtection="0"/>
  </cellStyleXfs>
  <cellXfs count="400">
    <xf numFmtId="0" fontId="0" fillId="0" borderId="0" xfId="0"/>
    <xf numFmtId="0" fontId="0" fillId="0" borderId="0" xfId="0" applyProtection="1">
      <protection/>
    </xf>
    <xf numFmtId="0" fontId="0" fillId="0" borderId="0" xfId="0" applyFill="1" applyBorder="1" applyProtection="1">
      <protection/>
    </xf>
    <xf numFmtId="0" fontId="0" fillId="0" borderId="0" xfId="0" applyBorder="1" applyProtection="1">
      <protection/>
    </xf>
    <xf numFmtId="0" fontId="0" fillId="0" borderId="0" xfId="0" applyFont="1"/>
    <xf numFmtId="0" fontId="19" fillId="0" borderId="0" xfId="0" applyFont="1"/>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4" fontId="21" fillId="24" borderId="10" xfId="106" applyNumberFormat="1" applyFont="1" applyFill="1" applyBorder="1" applyAlignment="1" applyProtection="1">
      <alignment horizontal="center" vertical="center"/>
      <protection/>
    </xf>
    <xf numFmtId="10" fontId="21" fillId="24" borderId="10" xfId="95" applyNumberFormat="1" applyFont="1" applyFill="1" applyBorder="1" applyAlignment="1" applyProtection="1">
      <alignment horizontal="center" vertical="center"/>
      <protection/>
    </xf>
    <xf numFmtId="0" fontId="22"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106" applyFont="1"/>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xf numFmtId="0" fontId="0" fillId="0" borderId="0" xfId="0" applyFill="1" applyProtection="1">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10" fontId="0" fillId="0" borderId="0" xfId="95"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Protection="1">
      <protection/>
    </xf>
    <xf numFmtId="0" fontId="20" fillId="0" borderId="0" xfId="0" applyFont="1" applyAlignment="1">
      <alignment horizontal="left"/>
    </xf>
    <xf numFmtId="166" fontId="0" fillId="0" borderId="0" xfId="106" applyNumberFormat="1" applyFont="1" applyFill="1" applyBorder="1" applyProtection="1">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Protection="1">
      <protection/>
    </xf>
    <xf numFmtId="0" fontId="0" fillId="0" borderId="0" xfId="0" applyProtection="1">
      <protection hidden="1"/>
    </xf>
    <xf numFmtId="0" fontId="0" fillId="0" borderId="0" xfId="0" applyFont="1" applyProtection="1">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Protection="1">
      <protection hidden="1"/>
    </xf>
    <xf numFmtId="0" fontId="1" fillId="0" borderId="0" xfId="0" applyFont="1" applyProtection="1">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90" applyFont="1" applyProtection="1">
      <alignment/>
      <protection/>
    </xf>
    <xf numFmtId="0" fontId="21" fillId="0" borderId="0" xfId="90" applyFont="1" applyAlignment="1" applyProtection="1">
      <alignment horizontal="center"/>
      <protection/>
    </xf>
    <xf numFmtId="0" fontId="21" fillId="0" borderId="14" xfId="90" applyFont="1" applyBorder="1" applyAlignment="1" applyProtection="1">
      <alignment horizontal="center"/>
      <protection/>
    </xf>
    <xf numFmtId="10" fontId="29" fillId="0" borderId="14" xfId="90" applyNumberFormat="1" applyFont="1" applyFill="1" applyBorder="1" applyAlignment="1" applyProtection="1">
      <alignment horizontal="center"/>
      <protection/>
    </xf>
    <xf numFmtId="0" fontId="20" fillId="0" borderId="0" xfId="90" applyFont="1" applyAlignment="1" applyProtection="1">
      <alignment horizontal="center"/>
      <protection/>
    </xf>
    <xf numFmtId="0" fontId="30" fillId="0" borderId="0" xfId="90" applyFont="1" applyAlignment="1" applyProtection="1">
      <alignment/>
      <protection/>
    </xf>
    <xf numFmtId="0" fontId="21" fillId="0" borderId="0" xfId="90" applyFont="1" applyProtection="1">
      <alignment/>
      <protection/>
    </xf>
    <xf numFmtId="0" fontId="21" fillId="0" borderId="14" xfId="90" applyFont="1" applyFill="1" applyBorder="1" applyAlignment="1" applyProtection="1">
      <alignment horizontal="center" vertical="center" wrapText="1"/>
      <protection/>
    </xf>
    <xf numFmtId="0" fontId="28" fillId="0" borderId="14" xfId="90" applyFont="1" applyBorder="1" applyAlignment="1" applyProtection="1">
      <alignment horizontal="center" vertical="center"/>
      <protection/>
    </xf>
    <xf numFmtId="10" fontId="28" fillId="22" borderId="14" xfId="90" applyNumberFormat="1" applyFont="1" applyFill="1" applyBorder="1" applyAlignment="1" applyProtection="1">
      <alignment horizontal="center" vertical="center"/>
      <protection locked="0"/>
    </xf>
    <xf numFmtId="4" fontId="24"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wrapText="1"/>
      <protection/>
    </xf>
    <xf numFmtId="0" fontId="28" fillId="0" borderId="14" xfId="90" applyFont="1" applyFill="1" applyBorder="1" applyAlignment="1" applyProtection="1">
      <alignment horizontal="center" vertical="center" wrapText="1"/>
      <protection/>
    </xf>
    <xf numFmtId="0" fontId="36" fillId="0" borderId="0" xfId="90" applyFont="1" applyFill="1" applyBorder="1" applyAlignment="1" applyProtection="1">
      <alignment horizontal="center" vertical="center" wrapText="1"/>
      <protection/>
    </xf>
    <xf numFmtId="10" fontId="36" fillId="0" borderId="0" xfId="90" applyNumberFormat="1" applyFont="1" applyFill="1" applyBorder="1" applyAlignment="1" applyProtection="1">
      <alignment horizontal="center" vertical="center"/>
      <protection/>
    </xf>
    <xf numFmtId="170" fontId="0" fillId="0" borderId="0" xfId="90" applyNumberFormat="1" applyFont="1" applyAlignment="1" applyProtection="1">
      <alignment/>
      <protection/>
    </xf>
    <xf numFmtId="0" fontId="28" fillId="0" borderId="0" xfId="90" applyFont="1" applyBorder="1" applyProtection="1">
      <alignment/>
      <protection/>
    </xf>
    <xf numFmtId="0" fontId="0" fillId="0" borderId="0" xfId="90" applyFont="1" applyBorder="1" applyProtection="1">
      <alignment/>
      <protection/>
    </xf>
    <xf numFmtId="0" fontId="28" fillId="0" borderId="0" xfId="90" applyFont="1" applyProtection="1">
      <alignment/>
      <protection/>
    </xf>
    <xf numFmtId="0" fontId="28" fillId="0" borderId="0" xfId="90" applyFont="1" applyAlignment="1" applyProtection="1">
      <alignment vertical="top"/>
      <protection/>
    </xf>
    <xf numFmtId="0" fontId="32" fillId="0" borderId="0" xfId="90"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Protection="1">
      <protection/>
    </xf>
    <xf numFmtId="0" fontId="0" fillId="0" borderId="17" xfId="0" applyFont="1" applyBorder="1"/>
    <xf numFmtId="0" fontId="28" fillId="0" borderId="0" xfId="0" applyFont="1"/>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1" applyFont="1" applyBorder="1" applyAlignment="1" applyProtection="1">
      <alignment vertical="top"/>
      <protection/>
    </xf>
    <xf numFmtId="0" fontId="21" fillId="0" borderId="15" xfId="91" applyFont="1" applyBorder="1" applyAlignment="1" applyProtection="1">
      <alignment horizontal="center" vertical="top"/>
      <protection/>
    </xf>
    <xf numFmtId="0" fontId="0" fillId="0" borderId="0" xfId="0" applyFont="1" applyProtection="1">
      <protection/>
    </xf>
    <xf numFmtId="10" fontId="0" fillId="22" borderId="16" xfId="95" applyNumberFormat="1" applyFont="1" applyFill="1" applyBorder="1" applyAlignment="1" applyProtection="1">
      <alignment horizontal="center" vertical="top" wrapText="1"/>
      <protection/>
    </xf>
    <xf numFmtId="10" fontId="0" fillId="0" borderId="16" xfId="95" applyNumberFormat="1" applyFont="1" applyFill="1" applyBorder="1" applyAlignment="1" applyProtection="1">
      <alignment horizontal="center" vertical="top" wrapText="1"/>
      <protection/>
    </xf>
    <xf numFmtId="164" fontId="21" fillId="24" borderId="19" xfId="106" applyNumberFormat="1" applyFont="1" applyFill="1" applyBorder="1" applyAlignment="1" applyProtection="1">
      <alignment horizontal="center" vertical="center" shrinkToFit="1"/>
      <protection/>
    </xf>
    <xf numFmtId="164"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90" applyFont="1" applyBorder="1" applyAlignment="1" applyProtection="1">
      <alignment horizontal="center" vertical="top"/>
      <protection/>
    </xf>
    <xf numFmtId="0" fontId="35" fillId="0" borderId="0" xfId="91"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5"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90" applyNumberFormat="1" applyFont="1" applyFill="1" applyBorder="1" applyAlignment="1" applyProtection="1">
      <alignment horizontal="center" vertical="center" wrapText="1"/>
      <protection/>
    </xf>
    <xf numFmtId="0" fontId="42" fillId="0" borderId="0" xfId="90" applyFont="1" applyAlignment="1" applyProtection="1">
      <alignment wrapText="1"/>
      <protection/>
    </xf>
    <xf numFmtId="0" fontId="43" fillId="0" borderId="0" xfId="90" applyFont="1" applyAlignment="1" applyProtection="1">
      <alignment vertical="top" wrapText="1"/>
      <protection/>
    </xf>
    <xf numFmtId="0" fontId="40" fillId="0" borderId="14" xfId="90" applyFont="1" applyBorder="1" applyAlignment="1" applyProtection="1">
      <alignment horizontal="center" vertical="center"/>
      <protection/>
    </xf>
    <xf numFmtId="4" fontId="24" fillId="0" borderId="0" xfId="90" applyNumberFormat="1" applyFont="1" applyFill="1" applyBorder="1" applyAlignment="1" applyProtection="1">
      <alignment horizontal="center" vertical="center" wrapText="1"/>
      <protection/>
    </xf>
    <xf numFmtId="0" fontId="0" fillId="0" borderId="0" xfId="90" applyFont="1" applyProtection="1">
      <alignment/>
      <protection locked="0"/>
    </xf>
    <xf numFmtId="0" fontId="21" fillId="0" borderId="0" xfId="0" applyFont="1"/>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xf numFmtId="0" fontId="0" fillId="0" borderId="0" xfId="0" applyFont="1" applyFill="1" applyBorder="1"/>
    <xf numFmtId="0" fontId="22" fillId="0" borderId="16" xfId="0" applyFont="1" applyBorder="1" applyAlignment="1">
      <alignment horizontal="center"/>
    </xf>
    <xf numFmtId="0" fontId="1" fillId="22" borderId="23" xfId="0" applyNumberFormat="1" applyFont="1" applyFill="1" applyBorder="1" applyAlignment="1" applyProtection="1">
      <alignment vertical="center" wrapText="1"/>
      <protection locked="0"/>
    </xf>
    <xf numFmtId="164"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1"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1" applyFont="1" applyFill="1" applyBorder="1" applyAlignment="1" applyProtection="1">
      <alignment horizontal="left" vertical="top"/>
      <protection/>
    </xf>
    <xf numFmtId="0" fontId="21" fillId="0" borderId="11" xfId="91" applyFont="1" applyFill="1" applyBorder="1" applyAlignment="1" applyProtection="1">
      <alignment vertical="top"/>
      <protection/>
    </xf>
    <xf numFmtId="0" fontId="21" fillId="0" borderId="15" xfId="9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5" applyNumberFormat="1" applyFont="1" applyFill="1" applyBorder="1" applyAlignment="1" applyProtection="1">
      <alignment horizontal="center" vertical="top" wrapText="1"/>
      <protection/>
    </xf>
    <xf numFmtId="10" fontId="0" fillId="0" borderId="18" xfId="95" applyNumberFormat="1" applyFont="1" applyFill="1" applyBorder="1" applyAlignment="1" applyProtection="1">
      <alignment horizontal="left" vertical="top" wrapText="1"/>
      <protection/>
    </xf>
    <xf numFmtId="0" fontId="21" fillId="0" borderId="17" xfId="0" applyFont="1" applyBorder="1"/>
    <xf numFmtId="0" fontId="21" fillId="0" borderId="17" xfId="0" applyFont="1" applyBorder="1" applyAlignment="1">
      <alignment horizontal="left"/>
    </xf>
    <xf numFmtId="0" fontId="0" fillId="0" borderId="17" xfId="0" applyFont="1" applyBorder="1" applyAlignment="1">
      <alignment horizontal="left"/>
    </xf>
    <xf numFmtId="0" fontId="21" fillId="0" borderId="17" xfId="90" applyFont="1" applyBorder="1" applyAlignment="1" applyProtection="1">
      <alignment horizontal="left"/>
      <protection/>
    </xf>
    <xf numFmtId="0" fontId="0" fillId="0" borderId="17" xfId="90"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5"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Protection="1">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Protection="1">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1" fillId="21" borderId="23" xfId="0" applyNumberFormat="1" applyFont="1" applyFill="1" applyBorder="1" applyAlignment="1" applyProtection="1">
      <alignment vertical="center" wrapText="1"/>
      <protection/>
    </xf>
    <xf numFmtId="164"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5" applyNumberFormat="1" applyFont="1" applyFill="1" applyBorder="1" applyAlignment="1" applyProtection="1">
      <alignment horizontal="center" vertical="center"/>
      <protection/>
    </xf>
    <xf numFmtId="4" fontId="28" fillId="0" borderId="0" xfId="95"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Protection="1">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1" fillId="0" borderId="0" xfId="0" applyFont="1" applyFill="1" applyBorder="1" applyProtection="1">
      <protection/>
    </xf>
    <xf numFmtId="0" fontId="0" fillId="0" borderId="0" xfId="0" applyFont="1" applyBorder="1" applyProtection="1">
      <protection/>
    </xf>
    <xf numFmtId="0" fontId="1" fillId="0" borderId="0" xfId="0" applyFont="1" applyProtection="1">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1" fillId="0" borderId="0" xfId="0" applyNumberFormat="1" applyFont="1" applyProtection="1">
      <protection/>
    </xf>
    <xf numFmtId="0" fontId="21" fillId="0" borderId="17" xfId="0" applyFont="1" applyFill="1" applyBorder="1" applyAlignment="1" applyProtection="1">
      <alignment horizontal="left" vertical="center"/>
      <protection/>
    </xf>
    <xf numFmtId="0" fontId="0" fillId="0" borderId="17" xfId="0" applyFont="1" applyBorder="1" applyProtection="1">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Protection="1">
      <protection/>
    </xf>
    <xf numFmtId="0" fontId="0" fillId="0" borderId="11" xfId="0" applyBorder="1" applyProtection="1" quotePrefix="1">
      <protection/>
    </xf>
    <xf numFmtId="10" fontId="28" fillId="0" borderId="11" xfId="95" applyNumberFormat="1" applyFont="1" applyFill="1" applyBorder="1" applyAlignment="1" applyProtection="1">
      <alignment horizontal="center" vertical="center"/>
      <protection/>
    </xf>
    <xf numFmtId="4" fontId="28" fillId="0" borderId="11" xfId="95"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5"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5" applyNumberFormat="1" applyFont="1" applyFill="1" applyBorder="1" applyAlignment="1" applyProtection="1">
      <alignment horizontal="center" vertical="center" shrinkToFit="1"/>
      <protection/>
    </xf>
    <xf numFmtId="10" fontId="24" fillId="25" borderId="0" xfId="95" applyNumberFormat="1" applyFont="1" applyFill="1" applyBorder="1" applyAlignment="1" applyProtection="1">
      <alignment horizontal="center" vertical="center" shrinkToFit="1"/>
      <protection/>
    </xf>
    <xf numFmtId="4" fontId="28" fillId="0" borderId="12" xfId="95" applyNumberFormat="1" applyFont="1" applyFill="1" applyBorder="1" applyAlignment="1" applyProtection="1">
      <alignment horizontal="center" vertical="center"/>
      <protection/>
    </xf>
    <xf numFmtId="10" fontId="0" fillId="0" borderId="14" xfId="0" applyNumberFormat="1" applyBorder="1" applyProtection="1">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xf numFmtId="0" fontId="0" fillId="0" borderId="0" xfId="0" quotePrefix="1"/>
    <xf numFmtId="0" fontId="28" fillId="0" borderId="0" xfId="0" applyFont="1" applyFill="1" applyBorder="1" applyAlignment="1" applyProtection="1">
      <alignment horizontal="left" wrapText="1"/>
      <protection locked="0"/>
    </xf>
    <xf numFmtId="0" fontId="0" fillId="0" borderId="14" xfId="0" applyFont="1" applyBorder="1" applyProtection="1">
      <protection locked="0"/>
    </xf>
    <xf numFmtId="164"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5"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xf numFmtId="10" fontId="28" fillId="22" borderId="36" xfId="95" applyNumberFormat="1" applyFont="1" applyFill="1" applyBorder="1" applyAlignment="1" applyProtection="1">
      <alignment horizontal="center" vertical="center"/>
      <protection locked="0"/>
    </xf>
    <xf numFmtId="10" fontId="28" fillId="22" borderId="35" xfId="95" applyNumberFormat="1" applyFont="1" applyFill="1" applyBorder="1" applyAlignment="1" applyProtection="1">
      <alignment horizontal="center" vertical="center"/>
      <protection locked="0"/>
    </xf>
    <xf numFmtId="10" fontId="28" fillId="22" borderId="37" xfId="95" applyNumberFormat="1" applyFont="1" applyFill="1" applyBorder="1" applyAlignment="1" applyProtection="1">
      <alignment horizontal="center" vertical="center"/>
      <protection locked="0"/>
    </xf>
    <xf numFmtId="164"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5" applyNumberFormat="1" applyFont="1" applyFill="1" applyBorder="1" applyAlignment="1" applyProtection="1">
      <alignment horizontal="center" vertical="center" wrapText="1"/>
      <protection locked="0"/>
    </xf>
    <xf numFmtId="164" fontId="0" fillId="22" borderId="24" xfId="106" applyNumberFormat="1" applyFont="1" applyFill="1" applyBorder="1" applyAlignment="1" applyProtection="1">
      <alignment vertical="center" shrinkToFit="1"/>
      <protection locked="0"/>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21" fillId="0" borderId="39"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21" fillId="0" borderId="11" xfId="91" applyFont="1" applyFill="1" applyBorder="1" applyAlignment="1" applyProtection="1">
      <alignment horizontal="left" vertical="top"/>
      <protection/>
    </xf>
    <xf numFmtId="0" fontId="21" fillId="0" borderId="0" xfId="91" applyFont="1" applyFill="1" applyBorder="1" applyAlignment="1" applyProtection="1">
      <alignment horizontal="left" vertical="top"/>
      <protection/>
    </xf>
    <xf numFmtId="0" fontId="21" fillId="0" borderId="12" xfId="91" applyFont="1" applyFill="1" applyBorder="1" applyAlignment="1" applyProtection="1">
      <alignment horizontal="left" vertical="top"/>
      <protection/>
    </xf>
    <xf numFmtId="0" fontId="21" fillId="0" borderId="12" xfId="91" applyFont="1" applyBorder="1" applyAlignment="1" applyProtection="1">
      <alignment horizontal="left" vertical="top"/>
      <protection/>
    </xf>
    <xf numFmtId="0" fontId="0" fillId="22" borderId="18" xfId="0" applyFill="1" applyBorder="1" applyAlignment="1" applyProtection="1">
      <alignment horizontal="left" vertical="top" wrapText="1"/>
      <protection locked="0"/>
    </xf>
    <xf numFmtId="0" fontId="0" fillId="22" borderId="38" xfId="0"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0" fontId="35" fillId="0" borderId="11" xfId="91" applyFont="1" applyBorder="1" applyAlignment="1" applyProtection="1">
      <alignment horizontal="left" vertical="top"/>
      <protection/>
    </xf>
    <xf numFmtId="0" fontId="35" fillId="0" borderId="12" xfId="91" applyFont="1" applyBorder="1" applyAlignment="1" applyProtection="1">
      <alignment horizontal="left" vertical="top"/>
      <protection/>
    </xf>
    <xf numFmtId="0" fontId="20" fillId="20" borderId="17" xfId="0" applyFont="1" applyFill="1" applyBorder="1" applyAlignment="1" applyProtection="1">
      <alignment horizontal="center" vertical="center" wrapText="1"/>
      <protection/>
    </xf>
    <xf numFmtId="0" fontId="20" fillId="20" borderId="40"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49" fontId="0" fillId="22" borderId="0" xfId="0" applyNumberFormat="1" applyFill="1" applyBorder="1" applyAlignment="1" applyProtection="1">
      <alignment horizontal="left"/>
      <protection locked="0"/>
    </xf>
    <xf numFmtId="14" fontId="0" fillId="22" borderId="18" xfId="95" applyNumberFormat="1" applyFont="1" applyFill="1" applyBorder="1" applyAlignment="1" applyProtection="1">
      <alignment horizontal="center" vertical="top" wrapText="1"/>
      <protection locked="0"/>
    </xf>
    <xf numFmtId="14" fontId="0" fillId="22" borderId="38" xfId="95" applyNumberFormat="1" applyFont="1" applyFill="1" applyBorder="1" applyAlignment="1" applyProtection="1">
      <alignment horizontal="center" vertical="top" wrapText="1"/>
      <protection locked="0"/>
    </xf>
    <xf numFmtId="49" fontId="0" fillId="22" borderId="18"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38" xfId="95" applyNumberFormat="1" applyFont="1" applyFill="1" applyBorder="1" applyAlignment="1" applyProtection="1">
      <alignment horizontal="left" vertical="top" wrapText="1"/>
      <protection locked="0"/>
    </xf>
    <xf numFmtId="14" fontId="0" fillId="22" borderId="38" xfId="95"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49" fontId="0" fillId="22" borderId="0" xfId="0" applyNumberFormat="1" applyFon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35" fillId="0" borderId="11" xfId="91" applyFont="1" applyFill="1" applyBorder="1" applyAlignment="1" applyProtection="1">
      <alignment horizontal="left" vertical="top"/>
      <protection/>
    </xf>
    <xf numFmtId="0" fontId="35" fillId="0" borderId="12" xfId="91" applyFont="1" applyFill="1" applyBorder="1" applyAlignment="1" applyProtection="1">
      <alignment horizontal="left" vertical="top"/>
      <protection/>
    </xf>
    <xf numFmtId="167" fontId="0" fillId="0" borderId="18" xfId="0" applyNumberFormat="1" applyFill="1" applyBorder="1" applyAlignment="1" applyProtection="1">
      <alignment horizontal="center" vertical="top" wrapText="1"/>
      <protection/>
    </xf>
    <xf numFmtId="167" fontId="0" fillId="0" borderId="38" xfId="0" applyNumberFormat="1" applyFill="1" applyBorder="1" applyAlignment="1" applyProtection="1">
      <alignment horizontal="center" vertical="top" wrapText="1"/>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0" fillId="22" borderId="0" xfId="0" applyFill="1" applyBorder="1" applyAlignment="1" applyProtection="1">
      <alignment horizontal="left"/>
      <protection locked="0"/>
    </xf>
    <xf numFmtId="0" fontId="45" fillId="27" borderId="0" xfId="0" applyFont="1" applyFill="1" applyAlignment="1" applyProtection="1">
      <alignment horizontal="left" vertical="top" indent="2"/>
      <protection/>
    </xf>
    <xf numFmtId="10" fontId="0" fillId="0" borderId="18"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38" xfId="95" applyNumberFormat="1"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167" fontId="0" fillId="0" borderId="18" xfId="95" applyNumberFormat="1" applyFont="1" applyFill="1" applyBorder="1" applyAlignment="1" applyProtection="1">
      <alignment horizontal="left" vertical="top" wrapText="1"/>
      <protection/>
    </xf>
    <xf numFmtId="167" fontId="0" fillId="0" borderId="13" xfId="95" applyNumberFormat="1" applyFont="1" applyFill="1" applyBorder="1" applyAlignment="1" applyProtection="1">
      <alignment horizontal="left" vertical="top" wrapText="1"/>
      <protection/>
    </xf>
    <xf numFmtId="0" fontId="0" fillId="22" borderId="13" xfId="0" applyFill="1" applyBorder="1" applyAlignment="1" applyProtection="1">
      <alignment horizontal="left" vertical="top" wrapText="1"/>
      <protection locked="0"/>
    </xf>
    <xf numFmtId="49" fontId="0" fillId="22" borderId="18" xfId="0" applyNumberFormat="1"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10" fontId="0" fillId="22" borderId="18" xfId="95" applyNumberFormat="1" applyFont="1" applyFill="1" applyBorder="1" applyAlignment="1" applyProtection="1">
      <alignment horizontal="left" vertical="top" wrapText="1"/>
      <protection locked="0"/>
    </xf>
    <xf numFmtId="10" fontId="0" fillId="22" borderId="13" xfId="95" applyNumberFormat="1" applyFont="1" applyFill="1" applyBorder="1" applyAlignment="1" applyProtection="1">
      <alignment horizontal="left" vertical="top" wrapText="1"/>
      <protection locked="0"/>
    </xf>
    <xf numFmtId="10" fontId="0" fillId="22" borderId="38" xfId="95" applyNumberFormat="1" applyFont="1" applyFill="1" applyBorder="1" applyAlignment="1" applyProtection="1">
      <alignment horizontal="left" vertical="top" wrapText="1"/>
      <protection locked="0"/>
    </xf>
    <xf numFmtId="171" fontId="0" fillId="0" borderId="0" xfId="90" applyNumberFormat="1" applyFont="1" applyFill="1" applyBorder="1" applyAlignment="1" applyProtection="1">
      <alignment horizontal="left"/>
      <protection/>
    </xf>
    <xf numFmtId="0" fontId="41" fillId="0" borderId="0" xfId="90" applyFont="1" applyAlignment="1" applyProtection="1">
      <alignment horizontal="left" vertical="center" indent="1"/>
      <protection/>
    </xf>
    <xf numFmtId="0" fontId="0" fillId="0" borderId="14" xfId="90" applyFont="1" applyBorder="1" applyAlignment="1" applyProtection="1">
      <alignment horizontal="left" vertical="center" wrapText="1"/>
      <protection/>
    </xf>
    <xf numFmtId="0" fontId="36" fillId="0" borderId="0" xfId="90" applyFont="1" applyBorder="1" applyAlignment="1" applyProtection="1">
      <alignment horizontal="left" vertical="center" wrapText="1"/>
      <protection/>
    </xf>
    <xf numFmtId="2" fontId="31" fillId="0" borderId="17" xfId="90" applyNumberFormat="1" applyFont="1" applyFill="1" applyBorder="1" applyAlignment="1" applyProtection="1">
      <alignment horizontal="center" vertical="center"/>
      <protection/>
    </xf>
    <xf numFmtId="0" fontId="24" fillId="0" borderId="0" xfId="90" applyFont="1" applyBorder="1" applyAlignment="1" applyProtection="1">
      <alignment horizontal="left" vertical="center"/>
      <protection/>
    </xf>
    <xf numFmtId="0" fontId="0" fillId="0" borderId="0" xfId="90" applyFont="1" applyBorder="1" applyAlignment="1" applyProtection="1">
      <alignment horizontal="center" vertical="center"/>
      <protection/>
    </xf>
    <xf numFmtId="0" fontId="33" fillId="0" borderId="14" xfId="90" applyFont="1" applyBorder="1" applyAlignment="1" applyProtection="1">
      <alignment horizontal="center" vertical="center" wrapText="1"/>
      <protection/>
    </xf>
    <xf numFmtId="168" fontId="0" fillId="0" borderId="13" xfId="90" applyNumberFormat="1" applyFont="1" applyBorder="1" applyAlignment="1" applyProtection="1">
      <alignment horizontal="left"/>
      <protection/>
    </xf>
    <xf numFmtId="49" fontId="0" fillId="22" borderId="32" xfId="90" applyNumberFormat="1" applyFont="1" applyFill="1" applyBorder="1" applyAlignment="1" applyProtection="1">
      <alignment horizontal="left" vertical="top" wrapText="1"/>
      <protection locked="0"/>
    </xf>
    <xf numFmtId="49" fontId="0" fillId="22" borderId="10" xfId="90" applyNumberFormat="1" applyFont="1" applyFill="1" applyBorder="1" applyAlignment="1" applyProtection="1">
      <alignment horizontal="left" vertical="top" wrapText="1"/>
      <protection locked="0"/>
    </xf>
    <xf numFmtId="49" fontId="0" fillId="22" borderId="19" xfId="90" applyNumberFormat="1" applyFont="1" applyFill="1" applyBorder="1" applyAlignment="1" applyProtection="1">
      <alignment horizontal="left" vertical="top" wrapText="1"/>
      <protection locked="0"/>
    </xf>
    <xf numFmtId="0" fontId="0" fillId="0" borderId="17" xfId="90" applyFont="1" applyBorder="1" applyAlignment="1" applyProtection="1">
      <alignment horizontal="center" vertical="center"/>
      <protection/>
    </xf>
    <xf numFmtId="49" fontId="0" fillId="0" borderId="0" xfId="90" applyNumberFormat="1" applyFont="1" applyFill="1" applyBorder="1" applyAlignment="1" applyProtection="1">
      <alignment horizontal="left"/>
      <protection locked="0"/>
    </xf>
    <xf numFmtId="0" fontId="43" fillId="0" borderId="0" xfId="90" applyFont="1" applyAlignment="1" applyProtection="1">
      <alignment horizontal="center" vertical="top" wrapText="1"/>
      <protection/>
    </xf>
    <xf numFmtId="171" fontId="0" fillId="0" borderId="13" xfId="90" applyNumberFormat="1" applyFont="1" applyFill="1" applyBorder="1" applyAlignment="1" applyProtection="1">
      <alignment horizontal="left"/>
      <protection/>
    </xf>
    <xf numFmtId="0" fontId="0" fillId="0" borderId="14" xfId="90" applyFont="1" applyBorder="1" applyAlignment="1" applyProtection="1">
      <alignment horizontal="left" vertical="center"/>
      <protection/>
    </xf>
    <xf numFmtId="0" fontId="21" fillId="0" borderId="14" xfId="90" applyFont="1" applyFill="1" applyBorder="1" applyAlignment="1" applyProtection="1">
      <alignment horizontal="center" vertical="center"/>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69" fontId="1" fillId="22" borderId="18" xfId="87" applyFont="1" applyFill="1" applyBorder="1" applyAlignment="1" applyProtection="1">
      <alignment horizontal="left"/>
      <protection locked="0"/>
    </xf>
    <xf numFmtId="169" fontId="1" fillId="22" borderId="13" xfId="87" applyFont="1" applyFill="1" applyBorder="1" applyAlignment="1" applyProtection="1">
      <alignment horizontal="left"/>
      <protection locked="0"/>
    </xf>
    <xf numFmtId="169" fontId="1" fillId="22" borderId="38" xfId="87" applyFont="1" applyFill="1" applyBorder="1" applyAlignment="1" applyProtection="1">
      <alignment horizontal="left"/>
      <protection locked="0"/>
    </xf>
    <xf numFmtId="0" fontId="0" fillId="0" borderId="18" xfId="90" applyFont="1" applyFill="1" applyBorder="1" applyAlignment="1" applyProtection="1">
      <alignment horizontal="center" vertical="top" wrapText="1"/>
      <protection/>
    </xf>
    <xf numFmtId="0" fontId="0" fillId="0" borderId="38" xfId="90" applyFont="1" applyFill="1" applyBorder="1" applyAlignment="1" applyProtection="1">
      <alignment horizontal="center" vertical="top" wrapText="1"/>
      <protection/>
    </xf>
    <xf numFmtId="0" fontId="0" fillId="0" borderId="18" xfId="90" applyFont="1" applyFill="1" applyBorder="1" applyAlignment="1" applyProtection="1">
      <alignment horizontal="left" vertical="top" wrapText="1"/>
      <protection/>
    </xf>
    <xf numFmtId="0" fontId="0" fillId="0" borderId="38" xfId="90" applyFont="1" applyFill="1" applyBorder="1" applyAlignment="1" applyProtection="1">
      <alignment horizontal="left" vertical="top" wrapText="1"/>
      <protection/>
    </xf>
    <xf numFmtId="49" fontId="0" fillId="0" borderId="18" xfId="90" applyNumberFormat="1" applyFont="1" applyFill="1" applyBorder="1" applyAlignment="1" applyProtection="1">
      <alignment horizontal="left" vertical="top" wrapText="1"/>
      <protection/>
    </xf>
    <xf numFmtId="0" fontId="0" fillId="0" borderId="13" xfId="90" applyNumberFormat="1" applyFont="1" applyFill="1" applyBorder="1" applyAlignment="1" applyProtection="1">
      <alignment horizontal="left" vertical="top" wrapText="1"/>
      <protection/>
    </xf>
    <xf numFmtId="0" fontId="0" fillId="0" borderId="38" xfId="90" applyNumberFormat="1" applyFont="1" applyFill="1" applyBorder="1" applyAlignment="1" applyProtection="1">
      <alignment horizontal="left" vertical="top" wrapText="1"/>
      <protection/>
    </xf>
    <xf numFmtId="0" fontId="1" fillId="0" borderId="16" xfId="87" applyNumberFormat="1" applyFont="1" applyFill="1" applyBorder="1" applyAlignment="1" applyProtection="1">
      <alignment horizontal="left" wrapText="1"/>
      <protection/>
    </xf>
    <xf numFmtId="0" fontId="21" fillId="0" borderId="0" xfId="90" applyFont="1" applyBorder="1" applyAlignment="1" applyProtection="1">
      <alignment horizontal="left" vertical="center"/>
      <protection/>
    </xf>
    <xf numFmtId="10" fontId="1" fillId="22" borderId="14" xfId="90" applyNumberFormat="1" applyFont="1" applyFill="1" applyBorder="1" applyAlignment="1" applyProtection="1">
      <alignment horizontal="center"/>
      <protection locked="0"/>
    </xf>
    <xf numFmtId="0" fontId="1" fillId="0" borderId="14" xfId="90" applyFont="1" applyFill="1" applyBorder="1" applyAlignment="1" applyProtection="1">
      <alignment horizontal="left"/>
      <protection/>
    </xf>
    <xf numFmtId="0" fontId="24" fillId="0" borderId="14" xfId="90" applyFont="1" applyBorder="1" applyAlignment="1" applyProtection="1">
      <alignment horizontal="center" vertical="center"/>
      <protection/>
    </xf>
    <xf numFmtId="0" fontId="1" fillId="0" borderId="14" xfId="90" applyFont="1" applyFill="1" applyBorder="1" applyAlignment="1" applyProtection="1">
      <alignment horizontal="left" wrapText="1"/>
      <protection/>
    </xf>
    <xf numFmtId="0" fontId="24" fillId="0" borderId="14" xfId="90" applyFont="1" applyFill="1" applyBorder="1" applyAlignment="1" applyProtection="1">
      <alignment horizontal="center" vertical="center"/>
      <protection/>
    </xf>
    <xf numFmtId="4" fontId="24" fillId="0" borderId="14" xfId="90" applyNumberFormat="1" applyFont="1" applyFill="1" applyBorder="1" applyAlignment="1" applyProtection="1">
      <alignment horizontal="center" vertical="center" wrapText="1"/>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protection/>
    </xf>
    <xf numFmtId="0" fontId="28" fillId="0" borderId="0" xfId="0" applyFont="1" applyAlignment="1" applyProtection="1">
      <alignment horizontal="center" vertical="top" wrapTex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168" fontId="0"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1" fontId="0" fillId="0" borderId="13" xfId="0" applyNumberFormat="1" applyFont="1" applyFill="1" applyBorder="1" applyAlignment="1" applyProtection="1">
      <alignment horizontal="left" vertical="center"/>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170" fontId="0" fillId="0" borderId="13" xfId="0" applyNumberFormat="1" applyFont="1" applyBorder="1" applyAlignment="1" applyProtection="1">
      <alignment horizontal="left" vertical="center"/>
      <protection/>
    </xf>
    <xf numFmtId="0" fontId="24" fillId="24" borderId="21" xfId="0" applyFont="1" applyFill="1" applyBorder="1" applyAlignment="1" applyProtection="1">
      <alignment horizontal="center" vertical="center" wrapText="1"/>
      <protection/>
    </xf>
    <xf numFmtId="0" fontId="24" fillId="24" borderId="40"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xf numFmtId="0" fontId="1" fillId="22" borderId="23" xfId="0" applyNumberFormat="1" applyFont="1" applyFill="1" applyBorder="1" applyAlignment="1" applyProtection="1">
      <alignment vertical="center" wrapText="1"/>
      <protection/>
    </xf>
    <xf numFmtId="49" fontId="0" fillId="22" borderId="24" xfId="0" applyNumberFormat="1" applyFont="1" applyFill="1" applyBorder="1" applyAlignment="1" applyProtection="1">
      <alignment horizontal="center" vertical="center" wrapText="1"/>
      <protection/>
    </xf>
    <xf numFmtId="0" fontId="0" fillId="26" borderId="24" xfId="0" applyNumberFormat="1" applyFont="1" applyFill="1" applyBorder="1" applyAlignment="1" applyProtection="1">
      <alignment vertical="center" wrapText="1"/>
      <protection/>
    </xf>
    <xf numFmtId="0" fontId="0" fillId="26" borderId="24" xfId="0" applyNumberFormat="1" applyFont="1" applyFill="1" applyBorder="1" applyAlignment="1" applyProtection="1">
      <alignment horizontal="center" vertical="center" wrapText="1"/>
      <protection/>
    </xf>
    <xf numFmtId="164" fontId="0" fillId="22" borderId="24" xfId="106" applyNumberFormat="1" applyFont="1" applyFill="1" applyBorder="1" applyAlignment="1" applyProtection="1">
      <alignment vertical="center" shrinkToFit="1"/>
      <protection/>
    </xf>
    <xf numFmtId="164" fontId="0" fillId="22" borderId="34" xfId="106" applyFont="1" applyFill="1" applyBorder="1" applyAlignment="1" applyProtection="1">
      <alignment vertical="center" shrinkToFit="1"/>
      <protection/>
    </xf>
    <xf numFmtId="0" fontId="0" fillId="22" borderId="25" xfId="0" applyFont="1" applyFill="1" applyBorder="1" applyAlignment="1" applyProtection="1">
      <alignment horizontal="center" textRotation="90" wrapText="1"/>
      <protection/>
    </xf>
  </cellXfs>
  <cellStyles count="9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Ênfase1" xfId="26"/>
    <cellStyle name="20% - Ênfase2" xfId="27"/>
    <cellStyle name="20% - Ênfase3" xfId="28"/>
    <cellStyle name="20% - Ênfase4" xfId="29"/>
    <cellStyle name="20% - Ênfase5" xfId="30"/>
    <cellStyle name="20% - Ênfase6" xfId="31"/>
    <cellStyle name="40% - Accent1" xfId="32"/>
    <cellStyle name="40% - Accent2" xfId="33"/>
    <cellStyle name="40% - Accent3" xfId="34"/>
    <cellStyle name="40% - Accent4" xfId="35"/>
    <cellStyle name="40% - Accent5" xfId="36"/>
    <cellStyle name="40% - Accent6" xfId="37"/>
    <cellStyle name="40% - Ênfase1" xfId="38"/>
    <cellStyle name="40% - Ênfase2" xfId="39"/>
    <cellStyle name="40% - Ênfase3" xfId="40"/>
    <cellStyle name="40% - Ênfase4" xfId="41"/>
    <cellStyle name="40% - Ênfase5" xfId="42"/>
    <cellStyle name="40% - Ênfase6" xfId="43"/>
    <cellStyle name="60% - Accent1" xfId="44"/>
    <cellStyle name="60% - Accent2" xfId="45"/>
    <cellStyle name="60% - Accent3" xfId="46"/>
    <cellStyle name="60% - Accent4" xfId="47"/>
    <cellStyle name="60% - Accent5" xfId="48"/>
    <cellStyle name="60% - Accent6" xfId="49"/>
    <cellStyle name="60% - Ênfase1" xfId="50"/>
    <cellStyle name="60% - Ênfase2" xfId="51"/>
    <cellStyle name="60% - Ênfase3" xfId="52"/>
    <cellStyle name="60% - Ênfase4" xfId="53"/>
    <cellStyle name="60% - Ênfase5" xfId="54"/>
    <cellStyle name="60% - Ênfase6" xfId="55"/>
    <cellStyle name="Accent1" xfId="56"/>
    <cellStyle name="Accent2" xfId="57"/>
    <cellStyle name="Accent3" xfId="58"/>
    <cellStyle name="Accent4" xfId="59"/>
    <cellStyle name="Accent5" xfId="60"/>
    <cellStyle name="Accent6" xfId="61"/>
    <cellStyle name="Bad" xfId="62"/>
    <cellStyle name="Bom" xfId="63"/>
    <cellStyle name="Calculation" xfId="64"/>
    <cellStyle name="Cálculo" xfId="65"/>
    <cellStyle name="Célula de Verificação" xfId="66"/>
    <cellStyle name="Célula Vinculada" xfId="67"/>
    <cellStyle name="Check Cell" xfId="68"/>
    <cellStyle name="Ênfase1" xfId="69"/>
    <cellStyle name="Ênfase2" xfId="70"/>
    <cellStyle name="Ênfase3" xfId="71"/>
    <cellStyle name="Ênfase4" xfId="72"/>
    <cellStyle name="Ênfase5" xfId="73"/>
    <cellStyle name="Ênfase6" xfId="74"/>
    <cellStyle name="Entrada" xfId="75"/>
    <cellStyle name="Excel Built-in Normal" xfId="76"/>
    <cellStyle name="Explanatory Text" xfId="77"/>
    <cellStyle name="Good" xfId="78"/>
    <cellStyle name="Heading 1" xfId="79"/>
    <cellStyle name="Heading 2" xfId="80"/>
    <cellStyle name="Heading 3" xfId="81"/>
    <cellStyle name="Heading 4" xfId="82"/>
    <cellStyle name="Incorreto" xfId="83"/>
    <cellStyle name="Input" xfId="84"/>
    <cellStyle name="Linked Cell" xfId="85"/>
    <cellStyle name="Moeda 2" xfId="86"/>
    <cellStyle name="Moeda_Composicao BDI v2.1" xfId="87"/>
    <cellStyle name="Neutra" xfId="88"/>
    <cellStyle name="Neutral" xfId="89"/>
    <cellStyle name="Normal 2" xfId="90"/>
    <cellStyle name="Normal_FICHA DE VERIFICAÇÃO PRELIMINAR - Plano R" xfId="91"/>
    <cellStyle name="Nota" xfId="92"/>
    <cellStyle name="Note" xfId="93"/>
    <cellStyle name="Output" xfId="94"/>
    <cellStyle name="Porcentagem" xfId="95"/>
    <cellStyle name="Saída"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Vírgula" xfId="106"/>
    <cellStyle name="Warning Text" xfId="107"/>
  </cellStyles>
  <dxfs count="308">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condense val="0"/>
        <extend val="0"/>
      </font>
      <border>
        <top style="thin"/>
      </border>
    </dxf>
    <dxf>
      <fill>
        <patternFill>
          <bgColor indexed="55"/>
        </patternFill>
      </fill>
      <border/>
    </dxf>
    <dxf>
      <font>
        <color indexed="9"/>
        <condense val="0"/>
        <extend val="0"/>
      </font>
      <fill>
        <patternFill patternType="none"/>
      </fill>
      <border>
        <top/>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font>
      <fill>
        <patternFill>
          <bgColor indexed="55"/>
        </patternFill>
      </fill>
      <border>
        <top style="thin"/>
      </border>
    </dxf>
    <dxf>
      <font>
        <color indexed="9"/>
        <condense val="0"/>
        <extend val="0"/>
      </font>
      <fill>
        <patternFill patternType="none"/>
      </fill>
      <border>
        <left/>
        <right/>
        <top/>
        <bottom/>
      </border>
    </dxf>
    <dxf>
      <font>
        <b/>
        <i val="0"/>
        <color indexed="9"/>
        <condense val="0"/>
        <extend val="0"/>
      </font>
      <fill>
        <patternFill>
          <bgColor indexed="10"/>
        </patternFill>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ill>
        <patternFill patternType="none"/>
      </fill>
      <border/>
    </dxf>
    <dxf>
      <fill>
        <patternFill patternType="none"/>
      </fill>
      <border/>
    </dxf>
    <dxf>
      <fill>
        <patternFill patternType="none"/>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bgColor indexed="43"/>
        </patternFill>
      </fill>
      <border/>
    </dxf>
    <dxf>
      <font>
        <color indexed="9"/>
        <condense val="0"/>
        <extend val="0"/>
      </font>
      <fill>
        <patternFill patternType="none"/>
      </fill>
      <border>
        <left/>
        <right/>
        <top/>
        <bottom/>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b/>
        <i val="0"/>
      </font>
      <fill>
        <patternFill>
          <bgColor rgb="FFC0C0C0"/>
        </patternFill>
      </fill>
      <border/>
    </dxf>
    <dxf>
      <font>
        <b/>
        <i val="0"/>
      </font>
      <fill>
        <patternFill>
          <bgColor rgb="FF969696"/>
        </patternFill>
      </fill>
      <border/>
    </dxf>
    <dxf>
      <font>
        <color theme="1"/>
      </font>
      <border/>
    </dxf>
    <dxf>
      <font>
        <b/>
        <i val="0"/>
      </font>
      <fill>
        <patternFill>
          <bgColor rgb="FFC0C0C0"/>
        </patternFill>
      </fill>
      <border/>
    </dxf>
    <dxf>
      <font>
        <b/>
        <i val="0"/>
      </font>
      <fill>
        <patternFill>
          <bgColor rgb="FF969696"/>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ill>
        <patternFill patternType="none"/>
      </fill>
      <border/>
    </dxf>
    <dxf>
      <fill>
        <patternFill patternType="none"/>
      </fill>
      <border/>
    </dxf>
    <dxf>
      <font>
        <color indexed="9"/>
        <condense val="0"/>
        <extend val="0"/>
      </font>
      <fill>
        <patternFill patternType="none"/>
      </fill>
      <border>
        <left/>
        <right/>
        <top/>
        <bottom/>
      </border>
    </dxf>
    <dxf>
      <fill>
        <patternFill patternType="none"/>
      </fill>
      <border/>
    </dxf>
    <dxf>
      <font>
        <color indexed="9"/>
        <condense val="0"/>
        <extend val="0"/>
      </font>
      <fill>
        <patternFill patternType="none"/>
      </fill>
      <border>
        <left/>
        <right/>
        <top/>
        <bottom/>
      </border>
    </dxf>
    <dxf>
      <font>
        <color indexed="9"/>
        <condense val="0"/>
        <extend val="0"/>
      </font>
      <fill>
        <patternFill>
          <bgColor indexed="9"/>
        </patternFill>
      </fill>
      <border>
        <left/>
        <right/>
        <top/>
        <bottom/>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 Id="rId3" Type="http://schemas.openxmlformats.org/officeDocument/2006/relationships/image" Target="../media/image1.emf" /><Relationship Id="rId4" Type="http://schemas.openxmlformats.org/officeDocument/2006/relationships/image" Target="../media/image5.emf" /><Relationship Id="rId5"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3.emf" /><Relationship Id="rId3" Type="http://schemas.openxmlformats.org/officeDocument/2006/relationships/image" Target="../media/image11.emf" /><Relationship Id="rId4"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3.emf" /><Relationship Id="rId4" Type="http://schemas.openxmlformats.org/officeDocument/2006/relationships/image" Target="../media/image2.emf" /><Relationship Id="rId5" Type="http://schemas.openxmlformats.org/officeDocument/2006/relationships/image" Target="../media/image12.emf" /><Relationship Id="rId6" Type="http://schemas.openxmlformats.org/officeDocument/2006/relationships/image" Target="../media/image2.emf" /><Relationship Id="rId7" Type="http://schemas.openxmlformats.org/officeDocument/2006/relationships/image" Target="../media/image1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3.emf" /><Relationship Id="rId4" Type="http://schemas.openxmlformats.org/officeDocument/2006/relationships/image" Target="../media/image13.emf" /><Relationship Id="rId5" Type="http://schemas.openxmlformats.org/officeDocument/2006/relationships/image" Target="../media/image2.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2.emf" /><Relationship Id="rId9" Type="http://schemas.openxmlformats.org/officeDocument/2006/relationships/image" Target="../media/image2.emf" /><Relationship Id="rId10" Type="http://schemas.openxmlformats.org/officeDocument/2006/relationships/image" Target="../media/image10.emf" /><Relationship Id="rId11"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3.emf" /><Relationship Id="rId4" Type="http://schemas.openxmlformats.org/officeDocument/2006/relationships/image" Target="../media/image7.emf" /><Relationship Id="rId5" Type="http://schemas.openxmlformats.org/officeDocument/2006/relationships/image" Target="../media/image13.emf" /><Relationship Id="rId6" Type="http://schemas.openxmlformats.org/officeDocument/2006/relationships/image" Target="../media/image2.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2.emf" /><Relationship Id="rId11" Type="http://schemas.openxmlformats.org/officeDocument/2006/relationships/image" Target="../media/image2.emf" /><Relationship Id="rId12" Type="http://schemas.openxmlformats.org/officeDocument/2006/relationships/image" Target="../media/image10.emf" /><Relationship Id="rId13" Type="http://schemas.openxmlformats.org/officeDocument/2006/relationships/image" Target="../media/image11.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10.emf" /><Relationship Id="rId17" Type="http://schemas.openxmlformats.org/officeDocument/2006/relationships/image" Target="../media/image11.emf" /><Relationship Id="rId18" Type="http://schemas.openxmlformats.org/officeDocument/2006/relationships/image" Target="../media/image12.emf" /><Relationship Id="rId19" Type="http://schemas.openxmlformats.org/officeDocument/2006/relationships/image" Target="../media/image11.emf" /><Relationship Id="rId20" Type="http://schemas.openxmlformats.org/officeDocument/2006/relationships/image" Target="../media/image12.emf" /><Relationship Id="rId21" Type="http://schemas.openxmlformats.org/officeDocument/2006/relationships/image" Target="../media/image11.emf" /><Relationship Id="rId22" Type="http://schemas.openxmlformats.org/officeDocument/2006/relationships/image" Target="../media/image12.emf" /><Relationship Id="rId2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1190625</xdr:colOff>
      <xdr:row>7</xdr:row>
      <xdr:rowOff>142875</xdr:rowOff>
    </xdr:to>
    <xdr:sp macro="[0]!BDI_add" textlink="">
      <xdr:nvSpPr>
        <xdr:cNvPr id="2" name="FiltroButton"/>
        <xdr:cNvSpPr txBox="1">
          <a:spLocks noChangeArrowheads="1"/>
        </xdr:cNvSpPr>
      </xdr:nvSpPr>
      <xdr:spPr bwMode="auto">
        <a:xfrm>
          <a:off x="7629525" y="885825"/>
          <a:ext cx="1095375" cy="342900"/>
        </a:xfrm>
        <a:prstGeom prst="rect">
          <a:avLst/>
        </a:prstGeom>
        <a:solidFill>
          <a:srgbClr val="E3E3E3"/>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oneCellAnchor>
    <xdr:from>
      <xdr:col>8</xdr:col>
      <xdr:colOff>28575</xdr:colOff>
      <xdr:row>0</xdr:row>
      <xdr:rowOff>19050</xdr:rowOff>
    </xdr:from>
    <xdr:ext cx="1800225" cy="381000"/>
    <xdr:sp macro="" textlink="">
      <xdr:nvSpPr>
        <xdr:cNvPr id="156124" name="Objeto 476" hidden="1"/>
        <xdr:cNvSpPr/>
      </xdr:nvSpPr>
      <xdr:spPr bwMode="auto">
        <a:xfrm>
          <a:off x="28575" y="19050"/>
          <a:ext cx="1800225" cy="381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28575</xdr:colOff>
      <xdr:row>0</xdr:row>
      <xdr:rowOff>19050</xdr:rowOff>
    </xdr:from>
    <xdr:to>
      <xdr:col>10</xdr:col>
      <xdr:colOff>400050</xdr:colOff>
      <xdr:row>2</xdr:row>
      <xdr:rowOff>47625</xdr:rowOff>
    </xdr:to>
    <xdr:pic>
      <xdr:nvPicPr>
        <xdr:cNvPr id="3" name="Imagem 47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 y="19050"/>
          <a:ext cx="1800225"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19050</xdr:rowOff>
    </xdr:from>
    <xdr:ext cx="1828800" cy="381000"/>
    <xdr:sp macro="" textlink="">
      <xdr:nvSpPr>
        <xdr:cNvPr id="185899" name="Objeto 5675" hidden="1"/>
        <xdr:cNvSpPr/>
      </xdr:nvSpPr>
      <xdr:spPr bwMode="auto">
        <a:xfrm>
          <a:off x="638175" y="19050"/>
          <a:ext cx="1828800" cy="381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10</xdr:col>
      <xdr:colOff>57150</xdr:colOff>
      <xdr:row>0</xdr:row>
      <xdr:rowOff>19050</xdr:rowOff>
    </xdr:from>
    <xdr:to>
      <xdr:col>11</xdr:col>
      <xdr:colOff>1038225</xdr:colOff>
      <xdr:row>2</xdr:row>
      <xdr:rowOff>76200</xdr:rowOff>
    </xdr:to>
    <xdr:pic>
      <xdr:nvPicPr>
        <xdr:cNvPr id="2" name="Imagem 567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38175" y="19050"/>
          <a:ext cx="18288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28575</xdr:rowOff>
    </xdr:from>
    <xdr:ext cx="1819275" cy="390525"/>
    <xdr:sp macro="" textlink="">
      <xdr:nvSpPr>
        <xdr:cNvPr id="193696" name="Objeto 13472" hidden="1"/>
        <xdr:cNvSpPr/>
      </xdr:nvSpPr>
      <xdr:spPr bwMode="auto">
        <a:xfrm>
          <a:off x="876300" y="28575"/>
          <a:ext cx="1819275" cy="39052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3</xdr:col>
      <xdr:colOff>28575</xdr:colOff>
      <xdr:row>8</xdr:row>
      <xdr:rowOff>123825</xdr:rowOff>
    </xdr:from>
    <xdr:to>
      <xdr:col>4</xdr:col>
      <xdr:colOff>819150</xdr:colOff>
      <xdr:row>8</xdr:row>
      <xdr:rowOff>647700</xdr:rowOff>
    </xdr:to>
    <xdr:sp macro="" textlink="">
      <xdr:nvSpPr>
        <xdr:cNvPr id="5" name="AutoShape 68" descr="Frente de Obra:"/>
        <xdr:cNvSpPr>
          <a:spLocks noChangeArrowheads="1"/>
        </xdr:cNvSpPr>
      </xdr:nvSpPr>
      <xdr:spPr bwMode="auto">
        <a:xfrm>
          <a:off x="5629275" y="2095500"/>
          <a:ext cx="1304925" cy="523875"/>
        </a:xfrm>
        <a:prstGeom prst="rightArrow">
          <a:avLst>
            <a:gd name="adj1" fmla="val 50000"/>
            <a:gd name="adj2" fmla="val 57203"/>
          </a:avLst>
        </a:prstGeom>
        <a:solidFill>
          <a:srgbClr val="CCFFCC"/>
        </a:solidFill>
        <a:ln w="9525" algn="ctr">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twoCellAnchor editAs="oneCell">
    <xdr:from>
      <xdr:col>1</xdr:col>
      <xdr:colOff>28575</xdr:colOff>
      <xdr:row>0</xdr:row>
      <xdr:rowOff>28575</xdr:rowOff>
    </xdr:from>
    <xdr:to>
      <xdr:col>2</xdr:col>
      <xdr:colOff>1133475</xdr:colOff>
      <xdr:row>1</xdr:row>
      <xdr:rowOff>190500</xdr:rowOff>
    </xdr:to>
    <xdr:pic>
      <xdr:nvPicPr>
        <xdr:cNvPr id="2" name="Imagem 1347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876300" y="28575"/>
          <a:ext cx="1819275"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38100</xdr:rowOff>
    </xdr:from>
    <xdr:ext cx="1819275" cy="381000"/>
    <xdr:sp macro="" textlink="">
      <xdr:nvSpPr>
        <xdr:cNvPr id="193474" name="Objeto 125890" hidden="1"/>
        <xdr:cNvSpPr/>
      </xdr:nvSpPr>
      <xdr:spPr bwMode="auto">
        <a:xfrm>
          <a:off x="57150" y="38100"/>
          <a:ext cx="1819275" cy="381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11</xdr:col>
      <xdr:colOff>638175</xdr:colOff>
      <xdr:row>7</xdr:row>
      <xdr:rowOff>209550</xdr:rowOff>
    </xdr:from>
    <xdr:ext cx="1819275" cy="342900"/>
    <xdr:sp macro="[0]!EditarCRONO" textlink="">
      <xdr:nvSpPr>
        <xdr:cNvPr id="7" name="AddCFF"/>
        <xdr:cNvSpPr txBox="1">
          <a:spLocks noChangeArrowheads="1"/>
        </xdr:cNvSpPr>
      </xdr:nvSpPr>
      <xdr:spPr bwMode="auto">
        <a:xfrm>
          <a:off x="638175" y="1914525"/>
          <a:ext cx="1819275" cy="342900"/>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oneCellAnchor>
  <xdr:twoCellAnchor editAs="oneCell">
    <xdr:from>
      <xdr:col>11</xdr:col>
      <xdr:colOff>57150</xdr:colOff>
      <xdr:row>0</xdr:row>
      <xdr:rowOff>38100</xdr:rowOff>
    </xdr:from>
    <xdr:to>
      <xdr:col>12</xdr:col>
      <xdr:colOff>1162050</xdr:colOff>
      <xdr:row>2</xdr:row>
      <xdr:rowOff>95250</xdr:rowOff>
    </xdr:to>
    <xdr:pic>
      <xdr:nvPicPr>
        <xdr:cNvPr id="2" name="Imagem 125890"/>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57150" y="38100"/>
          <a:ext cx="1819275"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rgb="FFFFC000"/>
    <pageSetUpPr fitToPage="1"/>
  </sheetPr>
  <dimension ref="A1:Y257"/>
  <sheetViews>
    <sheetView showGridLines="0" zoomScaleSheetLayoutView="100" workbookViewId="0" topLeftCell="A25">
      <selection activeCell="F30" sqref="F30"/>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59" t="s">
        <v>2</v>
      </c>
      <c r="C1" s="259"/>
      <c r="D1" s="259"/>
      <c r="E1" s="259"/>
      <c r="F1" s="259"/>
      <c r="G1" s="259"/>
      <c r="H1" s="259"/>
      <c r="I1" s="259"/>
      <c r="J1" s="259"/>
      <c r="K1" s="259"/>
      <c r="L1" s="259"/>
      <c r="M1" s="259"/>
      <c r="N1" s="259"/>
      <c r="O1" s="259"/>
      <c r="P1" s="259"/>
      <c r="Q1" s="259"/>
      <c r="R1" s="259"/>
      <c r="S1" s="259"/>
      <c r="T1" s="259"/>
      <c r="U1" s="259"/>
      <c r="V1" s="259"/>
      <c r="W1" s="259"/>
      <c r="X1" s="260"/>
    </row>
    <row r="2" spans="1:24" ht="13.5" customHeight="1">
      <c r="A2" s="105" t="s">
        <v>228</v>
      </c>
      <c r="B2" s="261"/>
      <c r="C2" s="261"/>
      <c r="D2" s="261"/>
      <c r="E2" s="261"/>
      <c r="F2" s="261"/>
      <c r="G2" s="261"/>
      <c r="H2" s="261"/>
      <c r="I2" s="261"/>
      <c r="J2" s="261"/>
      <c r="K2" s="261"/>
      <c r="L2" s="261"/>
      <c r="M2" s="261"/>
      <c r="N2" s="261"/>
      <c r="O2" s="261"/>
      <c r="P2" s="261"/>
      <c r="Q2" s="261"/>
      <c r="R2" s="261"/>
      <c r="S2" s="261"/>
      <c r="T2" s="261"/>
      <c r="U2" s="261"/>
      <c r="V2" s="261"/>
      <c r="W2" s="261"/>
      <c r="X2" s="262"/>
    </row>
    <row r="3" spans="1:8" ht="13.5" customHeight="1">
      <c r="A3" s="1"/>
      <c r="B3" s="1"/>
      <c r="F3" s="1"/>
      <c r="G3" s="1"/>
      <c r="H3" s="1"/>
    </row>
    <row r="4" spans="1:24" s="21" customFormat="1" ht="12.75" customHeight="1">
      <c r="A4" s="271" t="s">
        <v>168</v>
      </c>
      <c r="B4" s="271"/>
      <c r="C4" s="271"/>
      <c r="D4" s="271"/>
      <c r="E4" s="271"/>
      <c r="F4" s="271"/>
      <c r="G4" s="271"/>
      <c r="H4" s="271"/>
      <c r="I4" s="271"/>
      <c r="J4" s="271"/>
      <c r="K4" s="271"/>
      <c r="L4" s="271"/>
      <c r="M4" s="271"/>
      <c r="N4" s="271"/>
      <c r="O4" s="271"/>
      <c r="P4" s="271"/>
      <c r="Q4" s="271"/>
      <c r="R4" s="271"/>
      <c r="S4" s="271"/>
      <c r="T4" s="271"/>
      <c r="U4" s="271"/>
      <c r="V4" s="271"/>
      <c r="W4" s="271"/>
      <c r="X4" s="271"/>
    </row>
    <row r="5" spans="1:8" s="21" customFormat="1" ht="12.75">
      <c r="A5" s="22"/>
      <c r="B5" s="22"/>
      <c r="F5" s="23"/>
      <c r="G5" s="23"/>
      <c r="H5" s="23"/>
    </row>
    <row r="6" spans="1:24" s="22" customFormat="1" ht="24.9" customHeight="1">
      <c r="A6" s="272" t="s">
        <v>179</v>
      </c>
      <c r="B6" s="273"/>
      <c r="C6" s="273"/>
      <c r="D6" s="273"/>
      <c r="E6" s="273"/>
      <c r="F6" s="273"/>
      <c r="G6" s="273"/>
      <c r="H6" s="273"/>
      <c r="I6" s="273"/>
      <c r="J6" s="273"/>
      <c r="K6" s="273"/>
      <c r="L6" s="273"/>
      <c r="M6" s="273"/>
      <c r="N6" s="273"/>
      <c r="O6" s="273"/>
      <c r="P6" s="273"/>
      <c r="Q6" s="273"/>
      <c r="R6" s="273"/>
      <c r="S6" s="273"/>
      <c r="T6" s="273"/>
      <c r="U6" s="273"/>
      <c r="V6" s="273"/>
      <c r="W6" s="273"/>
      <c r="X6" s="273"/>
    </row>
    <row r="7" spans="1:8" s="21" customFormat="1" ht="12.75" customHeight="1">
      <c r="A7" s="22"/>
      <c r="B7" s="22"/>
      <c r="F7" s="23"/>
      <c r="G7" s="23"/>
      <c r="H7" s="23"/>
    </row>
    <row r="8" spans="1:25" s="21" customFormat="1" ht="12.75" customHeight="1">
      <c r="A8" s="274" t="s">
        <v>23</v>
      </c>
      <c r="B8" s="274"/>
      <c r="C8" s="274"/>
      <c r="D8" s="274"/>
      <c r="E8" s="274"/>
      <c r="F8" s="274"/>
      <c r="G8" s="274"/>
      <c r="H8" s="274"/>
      <c r="I8" s="274"/>
      <c r="J8" s="274"/>
      <c r="K8" s="274"/>
      <c r="L8" s="274"/>
      <c r="M8" s="274"/>
      <c r="N8" s="274"/>
      <c r="O8" s="274"/>
      <c r="P8" s="274"/>
      <c r="Q8" s="274"/>
      <c r="R8" s="274"/>
      <c r="S8" s="274"/>
      <c r="T8" s="274"/>
      <c r="U8" s="274"/>
      <c r="V8" s="274"/>
      <c r="W8" s="274"/>
      <c r="X8" s="274"/>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276" t="s">
        <v>169</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9" customHeight="1">
      <c r="A12" s="276" t="s">
        <v>1</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row>
    <row r="13" spans="1:8" s="21" customFormat="1" ht="12.75">
      <c r="A13" s="22"/>
      <c r="B13" s="22"/>
      <c r="F13" s="23"/>
      <c r="G13" s="23"/>
      <c r="H13" s="23"/>
    </row>
    <row r="14" spans="1:24" s="21" customFormat="1" ht="12.75">
      <c r="A14" s="275" t="s">
        <v>24</v>
      </c>
      <c r="B14" s="274"/>
      <c r="C14" s="274"/>
      <c r="D14" s="274"/>
      <c r="E14" s="274"/>
      <c r="F14" s="274"/>
      <c r="G14" s="274"/>
      <c r="H14" s="274"/>
      <c r="I14" s="274"/>
      <c r="J14" s="274"/>
      <c r="K14" s="274"/>
      <c r="L14" s="274"/>
      <c r="M14" s="274"/>
      <c r="N14" s="274"/>
      <c r="O14" s="274"/>
      <c r="P14" s="274"/>
      <c r="Q14" s="274"/>
      <c r="R14" s="274"/>
      <c r="S14" s="274"/>
      <c r="T14" s="274"/>
      <c r="U14" s="274"/>
      <c r="V14" s="274"/>
      <c r="W14" s="274"/>
      <c r="X14" s="274"/>
    </row>
    <row r="15" spans="1:8" s="21" customFormat="1" ht="12.75">
      <c r="A15" s="22"/>
      <c r="B15" s="22"/>
      <c r="F15" s="23"/>
      <c r="G15" s="23"/>
      <c r="H15" s="23"/>
    </row>
    <row r="16" spans="1:24" s="21" customFormat="1" ht="12.75">
      <c r="A16" s="242" t="s">
        <v>186</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44" t="s">
        <v>187</v>
      </c>
      <c r="B18" s="244"/>
      <c r="C18" s="245"/>
      <c r="D18" s="245"/>
      <c r="E18" s="245"/>
      <c r="F18" s="245"/>
      <c r="G18" s="245"/>
      <c r="H18" s="245"/>
      <c r="I18" s="245"/>
      <c r="J18" s="245"/>
      <c r="K18" s="245"/>
      <c r="L18" s="245"/>
      <c r="M18" s="245"/>
      <c r="N18" s="245"/>
      <c r="O18" s="245"/>
      <c r="P18" s="245"/>
      <c r="Q18" s="245"/>
      <c r="R18" s="245"/>
      <c r="S18" s="245"/>
      <c r="T18" s="245"/>
      <c r="U18" s="245"/>
      <c r="V18" s="245"/>
      <c r="W18" s="245"/>
      <c r="X18" s="245"/>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242" t="s">
        <v>189</v>
      </c>
      <c r="B22" s="243"/>
      <c r="C22" s="243"/>
      <c r="D22" s="243"/>
      <c r="E22" s="243"/>
      <c r="F22" s="243"/>
      <c r="G22" s="243"/>
      <c r="H22" s="243"/>
      <c r="I22" s="243"/>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44" t="s">
        <v>190</v>
      </c>
      <c r="B24" s="244"/>
      <c r="C24" s="245"/>
      <c r="D24" s="245"/>
      <c r="E24" s="245"/>
      <c r="F24" s="245"/>
      <c r="G24" s="245"/>
      <c r="H24" s="245"/>
      <c r="I24" s="245"/>
      <c r="J24" s="245"/>
      <c r="K24" s="245"/>
      <c r="L24" s="245"/>
      <c r="M24" s="245"/>
      <c r="N24" s="245"/>
      <c r="O24" s="245"/>
      <c r="P24" s="245"/>
      <c r="Q24" s="245"/>
      <c r="R24" s="245"/>
      <c r="S24" s="245"/>
      <c r="T24" s="245"/>
      <c r="U24" s="245"/>
      <c r="V24" s="245"/>
      <c r="W24" s="245"/>
      <c r="X24" s="245"/>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40" t="s">
        <v>191</v>
      </c>
      <c r="B26" s="240"/>
      <c r="C26" s="241"/>
      <c r="D26" s="241"/>
      <c r="E26" s="241"/>
      <c r="F26" s="241"/>
      <c r="G26" s="241"/>
      <c r="H26" s="241"/>
      <c r="I26" s="241"/>
      <c r="J26" s="241"/>
      <c r="K26" s="241"/>
      <c r="L26" s="241"/>
      <c r="M26" s="241"/>
      <c r="N26" s="241"/>
      <c r="O26" s="241"/>
      <c r="P26" s="241"/>
      <c r="Q26" s="241"/>
      <c r="R26" s="241"/>
      <c r="S26" s="241"/>
      <c r="T26" s="241"/>
      <c r="U26" s="241"/>
      <c r="V26" s="241"/>
      <c r="W26" s="241"/>
      <c r="X26" s="241"/>
    </row>
    <row r="27" spans="1:8" s="21" customFormat="1" ht="6" customHeight="1">
      <c r="A27" s="25"/>
      <c r="B27" s="25"/>
      <c r="F27" s="23"/>
      <c r="G27" s="23"/>
      <c r="H27" s="23"/>
    </row>
    <row r="28" spans="1:24" ht="12.75" customHeight="1">
      <c r="A28" s="238" t="s">
        <v>177</v>
      </c>
      <c r="B28" s="249"/>
      <c r="C28" s="238" t="s">
        <v>170</v>
      </c>
      <c r="D28" s="239"/>
      <c r="E28" s="249"/>
      <c r="F28" s="238" t="s">
        <v>171</v>
      </c>
      <c r="G28" s="239"/>
      <c r="H28" s="239"/>
      <c r="I28" s="249"/>
      <c r="J28" s="238" t="s">
        <v>172</v>
      </c>
      <c r="K28" s="239"/>
      <c r="L28" s="239"/>
      <c r="M28" s="239"/>
      <c r="N28" s="239"/>
      <c r="O28" s="249"/>
      <c r="P28" s="238" t="s">
        <v>0</v>
      </c>
      <c r="Q28" s="239"/>
      <c r="R28" s="239"/>
      <c r="S28" s="239"/>
      <c r="T28" s="239"/>
      <c r="U28" s="239"/>
      <c r="V28" s="239"/>
      <c r="W28" s="239"/>
      <c r="X28" s="249"/>
    </row>
    <row r="29" spans="1:24" ht="12.75" customHeight="1">
      <c r="A29" s="250" t="s">
        <v>229</v>
      </c>
      <c r="B29" s="251"/>
      <c r="C29" s="233" t="s">
        <v>230</v>
      </c>
      <c r="D29" s="234"/>
      <c r="E29" s="235"/>
      <c r="F29" s="233" t="s">
        <v>268</v>
      </c>
      <c r="G29" s="307"/>
      <c r="H29" s="307"/>
      <c r="I29" s="251"/>
      <c r="J29" s="250"/>
      <c r="K29" s="307"/>
      <c r="L29" s="307"/>
      <c r="M29" s="307"/>
      <c r="N29" s="307"/>
      <c r="O29" s="251"/>
      <c r="P29" s="233" t="s">
        <v>267</v>
      </c>
      <c r="Q29" s="307"/>
      <c r="R29" s="307"/>
      <c r="S29" s="307"/>
      <c r="T29" s="307"/>
      <c r="U29" s="307"/>
      <c r="V29" s="307"/>
      <c r="W29" s="307"/>
      <c r="X29" s="251"/>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38" t="s">
        <v>173</v>
      </c>
      <c r="B31" s="239"/>
      <c r="C31" s="239"/>
      <c r="D31" s="239"/>
      <c r="E31" s="239"/>
      <c r="F31" s="249"/>
      <c r="G31" s="238" t="s">
        <v>174</v>
      </c>
      <c r="H31" s="239"/>
      <c r="I31" s="239"/>
      <c r="J31" s="249"/>
      <c r="K31" s="238" t="s">
        <v>175</v>
      </c>
      <c r="L31" s="239"/>
      <c r="M31" s="239"/>
      <c r="N31" s="239"/>
      <c r="O31" s="239"/>
      <c r="P31" s="249"/>
      <c r="Q31" s="238" t="s">
        <v>180</v>
      </c>
      <c r="R31" s="239"/>
      <c r="S31" s="239"/>
      <c r="T31" s="239"/>
      <c r="U31" s="239"/>
      <c r="V31" s="239"/>
      <c r="W31" s="239"/>
      <c r="X31" s="249"/>
    </row>
    <row r="32" spans="1:24" ht="12.75">
      <c r="A32" s="308" t="s">
        <v>231</v>
      </c>
      <c r="B32" s="309"/>
      <c r="C32" s="309"/>
      <c r="D32" s="309"/>
      <c r="E32" s="309"/>
      <c r="F32" s="310"/>
      <c r="G32" s="233" t="s">
        <v>232</v>
      </c>
      <c r="H32" s="234"/>
      <c r="I32" s="234"/>
      <c r="J32" s="235"/>
      <c r="K32" s="250" t="s">
        <v>233</v>
      </c>
      <c r="L32" s="307"/>
      <c r="M32" s="307"/>
      <c r="N32" s="307"/>
      <c r="O32" s="307"/>
      <c r="P32" s="251"/>
      <c r="Q32" s="250" t="s">
        <v>234</v>
      </c>
      <c r="R32" s="307"/>
      <c r="S32" s="307"/>
      <c r="T32" s="307"/>
      <c r="U32" s="307"/>
      <c r="V32" s="307"/>
      <c r="W32" s="307"/>
      <c r="X32" s="251"/>
    </row>
    <row r="33" spans="1:8" s="21" customFormat="1" ht="9" customHeight="1">
      <c r="A33" s="22"/>
      <c r="B33" s="22"/>
      <c r="F33" s="23"/>
      <c r="G33" s="23"/>
      <c r="H33" s="23"/>
    </row>
    <row r="34" s="27" customFormat="1" ht="12.75"/>
    <row r="35" spans="1:24" s="21" customFormat="1" ht="12.75" customHeight="1">
      <c r="A35" s="240" t="s">
        <v>192</v>
      </c>
      <c r="B35" s="240"/>
      <c r="C35" s="241"/>
      <c r="D35" s="241"/>
      <c r="E35" s="241"/>
      <c r="F35" s="241"/>
      <c r="G35" s="241"/>
      <c r="H35" s="241"/>
      <c r="I35" s="241"/>
      <c r="J35" s="241"/>
      <c r="K35" s="241"/>
      <c r="L35" s="241"/>
      <c r="M35" s="241"/>
      <c r="N35" s="241"/>
      <c r="O35" s="241"/>
      <c r="P35" s="241"/>
      <c r="Q35" s="241"/>
      <c r="R35" s="241"/>
      <c r="S35" s="241"/>
      <c r="T35" s="241"/>
      <c r="U35" s="241"/>
      <c r="V35" s="241"/>
      <c r="W35" s="241"/>
      <c r="X35" s="241"/>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38" t="s">
        <v>16</v>
      </c>
      <c r="B37" s="249"/>
      <c r="C37" s="92" t="s">
        <v>91</v>
      </c>
      <c r="D37" s="238" t="s">
        <v>14</v>
      </c>
      <c r="E37" s="239"/>
      <c r="F37" s="249"/>
      <c r="G37" s="238" t="s">
        <v>12</v>
      </c>
      <c r="H37" s="239"/>
      <c r="I37" s="239"/>
      <c r="J37" s="239"/>
      <c r="K37" s="239"/>
      <c r="L37" s="239"/>
      <c r="M37" s="239"/>
      <c r="N37" s="239"/>
      <c r="O37" s="239"/>
      <c r="P37" s="239"/>
      <c r="Q37" s="239"/>
      <c r="R37" s="239"/>
      <c r="S37" s="249"/>
      <c r="T37" s="93" t="s">
        <v>7</v>
      </c>
      <c r="U37" s="93" t="s">
        <v>8</v>
      </c>
      <c r="V37" s="93" t="s">
        <v>9</v>
      </c>
      <c r="W37" s="93" t="s">
        <v>10</v>
      </c>
      <c r="X37" s="93" t="s">
        <v>11</v>
      </c>
    </row>
    <row r="38" spans="1:24" s="21" customFormat="1" ht="12.75" customHeight="1">
      <c r="A38" s="255">
        <v>42948</v>
      </c>
      <c r="B38" s="256"/>
      <c r="C38" s="91" t="s">
        <v>235</v>
      </c>
      <c r="D38" s="233" t="s">
        <v>69</v>
      </c>
      <c r="E38" s="234"/>
      <c r="F38" s="235"/>
      <c r="G38" s="233" t="s">
        <v>266</v>
      </c>
      <c r="H38" s="234"/>
      <c r="I38" s="234"/>
      <c r="J38" s="234"/>
      <c r="K38" s="234"/>
      <c r="L38" s="234"/>
      <c r="M38" s="234"/>
      <c r="N38" s="234"/>
      <c r="O38" s="234"/>
      <c r="P38" s="234"/>
      <c r="Q38" s="234"/>
      <c r="R38" s="234"/>
      <c r="S38" s="235"/>
      <c r="T38" s="95">
        <f ca="1">IF(ISERROR(INDIRECT("'BDI ("&amp;RIGHT(T37,1)&amp;")'!N27")),"",INDIRECT("'BDI ("&amp;RIGHT(T37,1)&amp;")'!N27"))</f>
        <v>0.2644</v>
      </c>
      <c r="U38" s="96" t="str">
        <f ca="1">IF(ISERROR(INDIRECT("'BDI ("&amp;RIGHT(U37,1)&amp;")'!N27")),"",INDIRECT("'BDI ("&amp;RIGHT(U37,1)&amp;")'!N27"))</f>
        <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40" t="s">
        <v>162</v>
      </c>
      <c r="B40" s="240"/>
      <c r="C40" s="241"/>
      <c r="D40" s="241"/>
      <c r="E40" s="241"/>
      <c r="F40" s="241"/>
      <c r="G40" s="241"/>
      <c r="H40" s="241"/>
      <c r="I40" s="241"/>
      <c r="J40" s="241"/>
      <c r="K40" s="241"/>
      <c r="L40" s="241"/>
      <c r="M40" s="241"/>
      <c r="N40" s="241"/>
      <c r="O40" s="241"/>
      <c r="P40" s="241"/>
      <c r="Q40" s="241"/>
      <c r="R40" s="241"/>
      <c r="S40" s="241"/>
      <c r="T40" s="241"/>
      <c r="U40" s="241"/>
      <c r="V40" s="241"/>
      <c r="W40" s="241"/>
      <c r="X40" s="241"/>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38" t="s">
        <v>87</v>
      </c>
      <c r="B42" s="249"/>
      <c r="C42" s="238" t="s">
        <v>111</v>
      </c>
      <c r="D42" s="239"/>
      <c r="E42" s="239"/>
      <c r="F42" s="239"/>
      <c r="G42" s="239"/>
      <c r="H42" s="238" t="s">
        <v>16</v>
      </c>
      <c r="I42" s="239"/>
      <c r="J42" s="28" t="s">
        <v>91</v>
      </c>
      <c r="K42" s="238" t="s">
        <v>88</v>
      </c>
      <c r="L42" s="239"/>
      <c r="M42" s="249"/>
      <c r="N42" s="28" t="s">
        <v>92</v>
      </c>
      <c r="O42" s="238" t="s">
        <v>93</v>
      </c>
      <c r="P42" s="239"/>
      <c r="Q42" s="239"/>
      <c r="R42" s="239"/>
      <c r="S42" s="239"/>
      <c r="T42" s="249"/>
      <c r="U42" s="257" t="s">
        <v>89</v>
      </c>
      <c r="V42" s="258"/>
      <c r="W42" s="257" t="s">
        <v>90</v>
      </c>
      <c r="X42" s="258"/>
    </row>
    <row r="43" spans="1:24" s="21" customFormat="1" ht="12.75" customHeight="1">
      <c r="A43" s="278"/>
      <c r="B43" s="279"/>
      <c r="C43" s="233"/>
      <c r="D43" s="234"/>
      <c r="E43" s="234"/>
      <c r="F43" s="234"/>
      <c r="G43" s="234"/>
      <c r="H43" s="255"/>
      <c r="I43" s="256"/>
      <c r="J43" s="88"/>
      <c r="K43" s="311"/>
      <c r="L43" s="312"/>
      <c r="M43" s="313"/>
      <c r="N43" s="104"/>
      <c r="O43" s="266"/>
      <c r="P43" s="267"/>
      <c r="Q43" s="267"/>
      <c r="R43" s="268"/>
      <c r="S43" s="268"/>
      <c r="T43" s="269"/>
      <c r="U43" s="264"/>
      <c r="V43" s="270"/>
      <c r="W43" s="264"/>
      <c r="X43" s="265"/>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40" t="s">
        <v>193</v>
      </c>
      <c r="B45" s="240"/>
      <c r="C45" s="241"/>
      <c r="D45" s="241"/>
      <c r="E45" s="241"/>
      <c r="F45" s="241"/>
      <c r="G45" s="241"/>
      <c r="H45" s="241"/>
      <c r="I45" s="241"/>
      <c r="J45" s="241"/>
      <c r="K45" s="241"/>
      <c r="L45" s="241"/>
      <c r="M45" s="241"/>
      <c r="N45" s="241"/>
      <c r="O45" s="241"/>
      <c r="P45" s="241"/>
      <c r="Q45" s="241"/>
      <c r="R45" s="241"/>
      <c r="S45" s="241"/>
      <c r="T45" s="241"/>
      <c r="U45" s="241"/>
      <c r="V45" s="241"/>
      <c r="W45" s="241"/>
      <c r="X45" s="241"/>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92">
        <v>43080</v>
      </c>
      <c r="B48" s="293"/>
      <c r="C48" s="294"/>
      <c r="E48" s="37"/>
    </row>
    <row r="49" spans="1:8" s="21" customFormat="1" ht="12.75">
      <c r="A49" s="22"/>
      <c r="B49" s="22"/>
      <c r="F49" s="33"/>
      <c r="G49" s="34"/>
      <c r="H49" s="35"/>
    </row>
    <row r="50" spans="1:24" s="21" customFormat="1" ht="12.75">
      <c r="A50" s="240" t="s">
        <v>194</v>
      </c>
      <c r="B50" s="240"/>
      <c r="C50" s="241"/>
      <c r="D50" s="241"/>
      <c r="E50" s="241"/>
      <c r="F50" s="241"/>
      <c r="G50" s="241"/>
      <c r="H50" s="241"/>
      <c r="I50" s="241"/>
      <c r="J50" s="241"/>
      <c r="K50" s="241"/>
      <c r="L50" s="241"/>
      <c r="M50" s="241"/>
      <c r="N50" s="241"/>
      <c r="O50" s="241"/>
      <c r="P50" s="241"/>
      <c r="Q50" s="241"/>
      <c r="R50" s="241"/>
      <c r="S50" s="241"/>
      <c r="T50" s="241"/>
      <c r="U50" s="241"/>
      <c r="V50" s="241"/>
      <c r="W50" s="241"/>
      <c r="X50" s="241"/>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236</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95"/>
      <c r="C54" s="295"/>
      <c r="D54" s="295"/>
      <c r="E54" s="295"/>
      <c r="F54" s="33"/>
      <c r="G54" s="101" t="s">
        <v>140</v>
      </c>
      <c r="H54" s="295"/>
      <c r="I54" s="295"/>
      <c r="J54" s="295"/>
      <c r="K54" s="295"/>
      <c r="L54" s="2"/>
      <c r="M54"/>
      <c r="N54"/>
      <c r="O54"/>
      <c r="P54"/>
      <c r="Q54"/>
      <c r="R54"/>
      <c r="S54"/>
      <c r="T54"/>
      <c r="U54"/>
      <c r="V54"/>
      <c r="W54"/>
      <c r="X54"/>
    </row>
    <row r="55" spans="1:24" s="21" customFormat="1" ht="12.75">
      <c r="A55" s="101" t="str">
        <f>IF(OR(TipoOrçamento="BASE",TipoOrçamento="REPROGRAMADONPL"),"Título:","Cargo:")</f>
        <v>Cargo:</v>
      </c>
      <c r="B55" s="295"/>
      <c r="C55" s="295"/>
      <c r="D55" s="295"/>
      <c r="E55" s="295"/>
      <c r="F55" s="33"/>
      <c r="G55" s="101" t="str">
        <f>A55</f>
        <v>Cargo:</v>
      </c>
      <c r="H55" s="295"/>
      <c r="I55" s="295"/>
      <c r="J55" s="295"/>
      <c r="K55" s="295"/>
      <c r="L55" s="2"/>
      <c r="M55"/>
      <c r="N55"/>
      <c r="O55"/>
      <c r="P55"/>
      <c r="Q55"/>
      <c r="R55"/>
      <c r="S55"/>
      <c r="T55"/>
      <c r="U55"/>
      <c r="V55"/>
      <c r="W55"/>
      <c r="X55"/>
    </row>
    <row r="56" spans="1:24" s="21" customFormat="1" ht="12.75">
      <c r="A56" s="101" t="str">
        <f>IF(OR(TipoOrçamento="BASE",TipoOrçamento="REPROGRAMADONPL"),"CREA/CAU:","Empresa:")</f>
        <v>Empresa:</v>
      </c>
      <c r="B56" s="277"/>
      <c r="C56" s="263"/>
      <c r="D56" s="263"/>
      <c r="E56" s="263"/>
      <c r="F56" s="33"/>
      <c r="G56" s="101" t="str">
        <f>A56</f>
        <v>Empresa:</v>
      </c>
      <c r="H56" s="263"/>
      <c r="I56" s="263"/>
      <c r="J56" s="263"/>
      <c r="K56" s="263"/>
      <c r="L56" s="2"/>
      <c r="M56"/>
      <c r="N56"/>
      <c r="O56"/>
      <c r="P56"/>
      <c r="Q56"/>
      <c r="R56"/>
      <c r="S56"/>
      <c r="T56"/>
      <c r="U56"/>
      <c r="V56"/>
      <c r="W56"/>
      <c r="X56"/>
    </row>
    <row r="57" spans="1:24" s="21" customFormat="1" ht="12.75">
      <c r="A57" s="101" t="str">
        <f>IF(OR(TipoOrçamento="BASE",TipoOrçamento="REPROGRAMADONPL"),"ART/RRT:","CNPJ:")</f>
        <v>CNPJ:</v>
      </c>
      <c r="B57" s="277"/>
      <c r="C57" s="263"/>
      <c r="D57" s="263"/>
      <c r="E57" s="263"/>
      <c r="F57" s="33"/>
      <c r="G57" s="101" t="str">
        <f>A57</f>
        <v>CNPJ:</v>
      </c>
      <c r="H57" s="263"/>
      <c r="I57" s="263"/>
      <c r="J57" s="263"/>
      <c r="K57" s="263"/>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44" t="s">
        <v>195</v>
      </c>
      <c r="B60" s="244"/>
      <c r="C60" s="245"/>
      <c r="D60" s="245"/>
      <c r="E60" s="245"/>
      <c r="F60" s="245"/>
      <c r="G60" s="245"/>
      <c r="H60" s="245"/>
      <c r="I60" s="245"/>
      <c r="J60" s="245"/>
      <c r="K60" s="245"/>
      <c r="L60" s="245"/>
      <c r="M60" s="245"/>
      <c r="N60" s="245"/>
      <c r="O60" s="245"/>
      <c r="P60" s="245"/>
      <c r="Q60" s="245"/>
      <c r="R60" s="245"/>
      <c r="S60" s="245"/>
      <c r="T60" s="245"/>
      <c r="U60" s="245"/>
      <c r="V60" s="245"/>
      <c r="W60" s="245"/>
      <c r="X60" s="245"/>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52" t="s">
        <v>196</v>
      </c>
      <c r="B62" s="253"/>
      <c r="C62" s="254"/>
      <c r="D62" s="254"/>
      <c r="E62" s="254"/>
      <c r="F62" s="254"/>
      <c r="G62" s="254"/>
      <c r="H62" s="254"/>
      <c r="I62" s="254"/>
      <c r="J62" s="254"/>
      <c r="K62" s="254"/>
      <c r="L62" s="254"/>
      <c r="M62" s="254"/>
      <c r="N62" s="254"/>
      <c r="O62" s="254"/>
      <c r="P62" s="254"/>
      <c r="Q62" s="254"/>
      <c r="R62" s="254"/>
      <c r="S62" s="254"/>
      <c r="T62" s="254"/>
      <c r="U62" s="254"/>
      <c r="V62" s="254"/>
      <c r="W62" s="254"/>
      <c r="X62" s="254"/>
    </row>
    <row r="63" spans="1:24" s="21" customFormat="1" ht="30" customHeight="1">
      <c r="A63" s="252" t="s">
        <v>197</v>
      </c>
      <c r="B63" s="252"/>
      <c r="C63" s="296"/>
      <c r="D63" s="296"/>
      <c r="E63" s="296"/>
      <c r="F63" s="296"/>
      <c r="G63" s="296"/>
      <c r="H63" s="296"/>
      <c r="I63" s="296"/>
      <c r="J63" s="296"/>
      <c r="K63" s="296"/>
      <c r="L63" s="296"/>
      <c r="M63" s="296"/>
      <c r="N63" s="296"/>
      <c r="O63" s="296"/>
      <c r="P63" s="296"/>
      <c r="Q63" s="296"/>
      <c r="R63" s="296"/>
      <c r="S63" s="296"/>
      <c r="T63" s="296"/>
      <c r="U63" s="296"/>
      <c r="V63" s="296"/>
      <c r="W63" s="296"/>
      <c r="X63" s="296"/>
    </row>
    <row r="64" spans="1:24" s="21" customFormat="1" ht="12.75">
      <c r="A64" s="22"/>
      <c r="B64" s="22"/>
      <c r="F64" s="33"/>
      <c r="G64" s="34"/>
      <c r="H64" s="35"/>
      <c r="M64"/>
      <c r="N64"/>
      <c r="O64"/>
      <c r="P64"/>
      <c r="Q64"/>
      <c r="R64"/>
      <c r="S64"/>
      <c r="T64"/>
      <c r="U64"/>
      <c r="V64"/>
      <c r="W64"/>
      <c r="X64"/>
    </row>
    <row r="65" spans="1:24" s="21" customFormat="1" ht="12.75" customHeight="1">
      <c r="A65" s="244" t="s">
        <v>198</v>
      </c>
      <c r="B65" s="244"/>
      <c r="C65" s="245"/>
      <c r="D65" s="245"/>
      <c r="E65" s="245"/>
      <c r="F65" s="245"/>
      <c r="G65" s="245"/>
      <c r="H65" s="245"/>
      <c r="I65" s="245"/>
      <c r="J65" s="245"/>
      <c r="K65" s="245"/>
      <c r="L65" s="245"/>
      <c r="M65" s="245"/>
      <c r="N65" s="245"/>
      <c r="O65" s="245"/>
      <c r="P65" s="245"/>
      <c r="Q65" s="245"/>
      <c r="R65" s="245"/>
      <c r="S65" s="245"/>
      <c r="T65" s="245"/>
      <c r="U65" s="245"/>
      <c r="V65" s="245"/>
      <c r="W65" s="245"/>
      <c r="X65" s="245"/>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40" t="s">
        <v>199</v>
      </c>
      <c r="B67" s="240"/>
      <c r="C67" s="241"/>
      <c r="D67" s="241"/>
      <c r="E67" s="241"/>
      <c r="F67" s="241"/>
      <c r="G67" s="241"/>
      <c r="H67" s="241"/>
      <c r="I67" s="241"/>
      <c r="J67" s="241"/>
      <c r="K67" s="241"/>
      <c r="L67" s="241"/>
      <c r="M67" s="241"/>
      <c r="N67" s="241"/>
      <c r="O67" s="241"/>
      <c r="P67" s="241"/>
      <c r="Q67" s="241"/>
      <c r="R67" s="241"/>
      <c r="S67" s="241"/>
      <c r="T67" s="241"/>
      <c r="U67" s="241"/>
      <c r="V67" s="241"/>
      <c r="W67" s="241"/>
      <c r="X67" s="241"/>
    </row>
    <row r="68" spans="1:24" s="21" customFormat="1" ht="12.75">
      <c r="A68" s="240" t="s">
        <v>200</v>
      </c>
      <c r="B68" s="240"/>
      <c r="C68" s="241"/>
      <c r="D68" s="241"/>
      <c r="E68" s="241"/>
      <c r="F68" s="241"/>
      <c r="G68" s="241"/>
      <c r="H68" s="241"/>
      <c r="I68" s="241"/>
      <c r="J68" s="241"/>
      <c r="K68" s="241"/>
      <c r="L68" s="241"/>
      <c r="M68" s="241"/>
      <c r="N68" s="241"/>
      <c r="O68" s="241"/>
      <c r="P68" s="241"/>
      <c r="Q68" s="241"/>
      <c r="R68" s="241"/>
      <c r="S68" s="241"/>
      <c r="T68" s="241"/>
      <c r="U68" s="241"/>
      <c r="V68" s="241"/>
      <c r="W68" s="241"/>
      <c r="X68" s="241"/>
    </row>
    <row r="69" spans="1:24" s="21" customFormat="1" ht="12.75" customHeight="1">
      <c r="A69" s="240" t="s">
        <v>201</v>
      </c>
      <c r="B69" s="240"/>
      <c r="C69" s="241"/>
      <c r="D69" s="241"/>
      <c r="E69" s="241"/>
      <c r="F69" s="241"/>
      <c r="G69" s="241"/>
      <c r="H69" s="241"/>
      <c r="I69" s="241"/>
      <c r="J69" s="241"/>
      <c r="K69" s="241"/>
      <c r="L69" s="241"/>
      <c r="M69" s="241"/>
      <c r="N69" s="241"/>
      <c r="O69" s="241"/>
      <c r="P69" s="241"/>
      <c r="Q69" s="241"/>
      <c r="R69" s="241"/>
      <c r="S69" s="241"/>
      <c r="T69" s="241"/>
      <c r="U69" s="241"/>
      <c r="V69" s="241"/>
      <c r="W69" s="241"/>
      <c r="X69" s="241"/>
    </row>
    <row r="70" spans="1:24" s="21" customFormat="1" ht="12.75" customHeight="1">
      <c r="A70" s="240" t="s">
        <v>202</v>
      </c>
      <c r="B70" s="240"/>
      <c r="C70" s="241"/>
      <c r="D70" s="241"/>
      <c r="E70" s="241"/>
      <c r="F70" s="241"/>
      <c r="G70" s="241"/>
      <c r="H70" s="241"/>
      <c r="I70" s="241"/>
      <c r="J70" s="241"/>
      <c r="K70" s="241"/>
      <c r="L70" s="241"/>
      <c r="M70" s="241"/>
      <c r="N70" s="241"/>
      <c r="O70" s="241"/>
      <c r="P70" s="241"/>
      <c r="Q70" s="241"/>
      <c r="R70" s="241"/>
      <c r="S70" s="241"/>
      <c r="T70" s="241"/>
      <c r="U70" s="241"/>
      <c r="V70" s="241"/>
      <c r="W70" s="241"/>
      <c r="X70" s="241"/>
    </row>
    <row r="71" spans="1:24" s="21" customFormat="1" ht="12.75" customHeight="1">
      <c r="A71" s="240" t="s">
        <v>203</v>
      </c>
      <c r="B71" s="240"/>
      <c r="C71" s="241"/>
      <c r="D71" s="241"/>
      <c r="E71" s="241"/>
      <c r="F71" s="241"/>
      <c r="G71" s="241"/>
      <c r="H71" s="241"/>
      <c r="I71" s="241"/>
      <c r="J71" s="241"/>
      <c r="K71" s="241"/>
      <c r="L71" s="241"/>
      <c r="M71" s="241"/>
      <c r="N71" s="241"/>
      <c r="O71" s="241"/>
      <c r="P71" s="241"/>
      <c r="Q71" s="241"/>
      <c r="R71" s="241"/>
      <c r="S71" s="241"/>
      <c r="T71" s="241"/>
      <c r="U71" s="241"/>
      <c r="V71" s="241"/>
      <c r="W71" s="241"/>
      <c r="X71" s="241"/>
    </row>
    <row r="72" spans="1:24" s="21" customFormat="1" ht="12.75" customHeight="1">
      <c r="A72" s="240" t="s">
        <v>204</v>
      </c>
      <c r="B72" s="240"/>
      <c r="C72" s="241"/>
      <c r="D72" s="241"/>
      <c r="E72" s="241"/>
      <c r="F72" s="241"/>
      <c r="G72" s="241"/>
      <c r="H72" s="241"/>
      <c r="I72" s="241"/>
      <c r="J72" s="241"/>
      <c r="K72" s="241"/>
      <c r="L72" s="241"/>
      <c r="M72" s="241"/>
      <c r="N72" s="241"/>
      <c r="O72" s="241"/>
      <c r="P72" s="241"/>
      <c r="Q72" s="241"/>
      <c r="R72" s="241"/>
      <c r="S72" s="241"/>
      <c r="T72" s="241"/>
      <c r="U72" s="241"/>
      <c r="V72" s="241"/>
      <c r="W72" s="241"/>
      <c r="X72" s="241"/>
    </row>
    <row r="73" spans="1:8" s="21" customFormat="1" ht="12.75">
      <c r="A73" s="22"/>
      <c r="B73" s="22"/>
      <c r="F73" s="33"/>
      <c r="G73" s="34"/>
      <c r="H73" s="35"/>
    </row>
    <row r="74" spans="1:24" s="21" customFormat="1" ht="12.75" customHeight="1">
      <c r="A74" s="244" t="s">
        <v>205</v>
      </c>
      <c r="B74" s="244"/>
      <c r="C74" s="245"/>
      <c r="D74" s="245"/>
      <c r="E74" s="245"/>
      <c r="F74" s="245"/>
      <c r="G74" s="245"/>
      <c r="H74" s="245"/>
      <c r="I74" s="245"/>
      <c r="J74" s="245"/>
      <c r="K74" s="245"/>
      <c r="L74" s="245"/>
      <c r="M74" s="245"/>
      <c r="N74" s="245"/>
      <c r="O74" s="245"/>
      <c r="P74" s="245"/>
      <c r="Q74" s="245"/>
      <c r="R74" s="245"/>
      <c r="S74" s="245"/>
      <c r="T74" s="245"/>
      <c r="U74" s="245"/>
      <c r="V74" s="245"/>
      <c r="W74" s="245"/>
      <c r="X74" s="245"/>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40" t="s">
        <v>206</v>
      </c>
      <c r="B76" s="240"/>
      <c r="C76" s="241"/>
      <c r="D76" s="241"/>
      <c r="E76" s="241"/>
      <c r="F76" s="241"/>
      <c r="G76" s="241"/>
      <c r="H76" s="241"/>
      <c r="I76" s="241"/>
      <c r="J76" s="241"/>
      <c r="K76" s="241"/>
      <c r="L76" s="241"/>
      <c r="M76" s="241"/>
      <c r="N76" s="241"/>
      <c r="O76" s="241"/>
      <c r="P76" s="241"/>
      <c r="Q76" s="241"/>
      <c r="R76" s="241"/>
      <c r="S76" s="241"/>
      <c r="T76" s="241"/>
      <c r="U76" s="241"/>
      <c r="V76" s="241"/>
      <c r="W76" s="241"/>
      <c r="X76" s="241"/>
    </row>
    <row r="77" spans="1:24" s="21" customFormat="1" ht="26.1" customHeight="1">
      <c r="A77" s="236" t="s">
        <v>207</v>
      </c>
      <c r="B77" s="236"/>
      <c r="C77" s="237"/>
      <c r="D77" s="237"/>
      <c r="E77" s="237"/>
      <c r="F77" s="237"/>
      <c r="G77" s="237"/>
      <c r="H77" s="237"/>
      <c r="I77" s="237"/>
      <c r="J77" s="237"/>
      <c r="K77" s="237"/>
      <c r="L77" s="237"/>
      <c r="M77" s="237"/>
      <c r="N77" s="237"/>
      <c r="O77" s="237"/>
      <c r="P77" s="237"/>
      <c r="Q77" s="237"/>
      <c r="R77" s="237"/>
      <c r="S77" s="237"/>
      <c r="T77" s="237"/>
      <c r="U77" s="237"/>
      <c r="V77" s="237"/>
      <c r="W77" s="237"/>
      <c r="X77" s="237"/>
    </row>
    <row r="78" spans="1:24" s="21" customFormat="1" ht="12.75" customHeight="1">
      <c r="A78" s="240" t="s">
        <v>208</v>
      </c>
      <c r="B78" s="240"/>
      <c r="C78" s="241"/>
      <c r="D78" s="241"/>
      <c r="E78" s="241"/>
      <c r="F78" s="241"/>
      <c r="G78" s="241"/>
      <c r="H78" s="241"/>
      <c r="I78" s="241"/>
      <c r="J78" s="241"/>
      <c r="K78" s="241"/>
      <c r="L78" s="241"/>
      <c r="M78" s="241"/>
      <c r="N78" s="241"/>
      <c r="O78" s="241"/>
      <c r="P78" s="241"/>
      <c r="Q78" s="241"/>
      <c r="R78" s="241"/>
      <c r="S78" s="241"/>
      <c r="T78" s="241"/>
      <c r="U78" s="241"/>
      <c r="V78" s="241"/>
      <c r="W78" s="241"/>
      <c r="X78" s="241"/>
    </row>
    <row r="79" spans="1:24" s="21" customFormat="1" ht="25.5" customHeight="1">
      <c r="A79" s="240" t="s">
        <v>209</v>
      </c>
      <c r="B79" s="240"/>
      <c r="C79" s="241"/>
      <c r="D79" s="241"/>
      <c r="E79" s="241"/>
      <c r="F79" s="241"/>
      <c r="G79" s="241"/>
      <c r="H79" s="241"/>
      <c r="I79" s="241"/>
      <c r="J79" s="241"/>
      <c r="K79" s="241"/>
      <c r="L79" s="241"/>
      <c r="M79" s="241"/>
      <c r="N79" s="241"/>
      <c r="O79" s="241"/>
      <c r="P79" s="241"/>
      <c r="Q79" s="241"/>
      <c r="R79" s="241"/>
      <c r="S79" s="241"/>
      <c r="T79" s="241"/>
      <c r="U79" s="241"/>
      <c r="V79" s="241"/>
      <c r="W79" s="241"/>
      <c r="X79" s="241"/>
    </row>
    <row r="80" spans="1:24" s="21" customFormat="1" ht="12.75">
      <c r="A80" s="236" t="s">
        <v>210</v>
      </c>
      <c r="B80" s="236"/>
      <c r="C80" s="237"/>
      <c r="D80" s="237"/>
      <c r="E80" s="237"/>
      <c r="F80" s="237"/>
      <c r="G80" s="237"/>
      <c r="H80" s="237"/>
      <c r="I80" s="237"/>
      <c r="J80" s="237"/>
      <c r="K80" s="237"/>
      <c r="L80" s="237"/>
      <c r="M80" s="237"/>
      <c r="N80" s="237"/>
      <c r="O80" s="237"/>
      <c r="P80" s="237"/>
      <c r="Q80" s="237"/>
      <c r="R80" s="237"/>
      <c r="S80" s="237"/>
      <c r="T80" s="237"/>
      <c r="U80" s="237"/>
      <c r="V80" s="237"/>
      <c r="W80" s="237"/>
      <c r="X80" s="237"/>
    </row>
    <row r="81" spans="1:24" ht="12.75" customHeight="1">
      <c r="A81" s="240" t="s">
        <v>211</v>
      </c>
      <c r="B81" s="240"/>
      <c r="C81" s="241"/>
      <c r="D81" s="241"/>
      <c r="E81" s="241"/>
      <c r="F81" s="241"/>
      <c r="G81" s="241"/>
      <c r="H81" s="241"/>
      <c r="I81" s="241"/>
      <c r="J81" s="241"/>
      <c r="K81" s="241"/>
      <c r="L81" s="241"/>
      <c r="M81" s="241"/>
      <c r="N81" s="241"/>
      <c r="O81" s="241"/>
      <c r="P81" s="241"/>
      <c r="Q81" s="241"/>
      <c r="R81" s="241"/>
      <c r="S81" s="241"/>
      <c r="T81" s="241"/>
      <c r="U81" s="241"/>
      <c r="V81" s="241"/>
      <c r="W81" s="241"/>
      <c r="X81" s="241"/>
    </row>
    <row r="82" spans="1:24" ht="26.1" customHeight="1">
      <c r="A82" s="240" t="s">
        <v>212</v>
      </c>
      <c r="B82" s="240"/>
      <c r="C82" s="241"/>
      <c r="D82" s="241"/>
      <c r="E82" s="241"/>
      <c r="F82" s="241"/>
      <c r="G82" s="241"/>
      <c r="H82" s="241"/>
      <c r="I82" s="241"/>
      <c r="J82" s="241"/>
      <c r="K82" s="241"/>
      <c r="L82" s="241"/>
      <c r="M82" s="241"/>
      <c r="N82" s="241"/>
      <c r="O82" s="241"/>
      <c r="P82" s="241"/>
      <c r="Q82" s="241"/>
      <c r="R82" s="241"/>
      <c r="S82" s="241"/>
      <c r="T82" s="241"/>
      <c r="U82" s="241"/>
      <c r="V82" s="241"/>
      <c r="W82" s="241"/>
      <c r="X82" s="241"/>
    </row>
    <row r="83" spans="1:24" s="21" customFormat="1" ht="26.1" customHeight="1">
      <c r="A83" s="240" t="s">
        <v>213</v>
      </c>
      <c r="B83" s="240"/>
      <c r="C83" s="241"/>
      <c r="D83" s="241"/>
      <c r="E83" s="241"/>
      <c r="F83" s="241"/>
      <c r="G83" s="241"/>
      <c r="H83" s="241"/>
      <c r="I83" s="241"/>
      <c r="J83" s="241"/>
      <c r="K83" s="241"/>
      <c r="L83" s="241"/>
      <c r="M83" s="241"/>
      <c r="N83" s="241"/>
      <c r="O83" s="241"/>
      <c r="P83" s="241"/>
      <c r="Q83" s="241"/>
      <c r="R83" s="241"/>
      <c r="S83" s="241"/>
      <c r="T83" s="241"/>
      <c r="U83" s="241"/>
      <c r="V83" s="241"/>
      <c r="W83" s="241"/>
      <c r="X83" s="241"/>
    </row>
    <row r="84" spans="1:24" s="21" customFormat="1" ht="12.75" customHeight="1">
      <c r="A84" s="240" t="s">
        <v>214</v>
      </c>
      <c r="B84" s="240"/>
      <c r="C84" s="241"/>
      <c r="D84" s="241"/>
      <c r="E84" s="241"/>
      <c r="F84" s="241"/>
      <c r="G84" s="241"/>
      <c r="H84" s="241"/>
      <c r="I84" s="241"/>
      <c r="J84" s="241"/>
      <c r="K84" s="241"/>
      <c r="L84" s="241"/>
      <c r="M84" s="241"/>
      <c r="N84" s="241"/>
      <c r="O84" s="241"/>
      <c r="P84" s="241"/>
      <c r="Q84" s="241"/>
      <c r="R84" s="241"/>
      <c r="S84" s="241"/>
      <c r="T84" s="241"/>
      <c r="U84" s="241"/>
      <c r="V84" s="241"/>
      <c r="W84" s="241"/>
      <c r="X84" s="241"/>
    </row>
    <row r="85" spans="1:24" s="21" customFormat="1" ht="12.75">
      <c r="A85" s="240" t="s">
        <v>215</v>
      </c>
      <c r="B85" s="240"/>
      <c r="C85" s="241"/>
      <c r="D85" s="241"/>
      <c r="E85" s="241"/>
      <c r="F85" s="241"/>
      <c r="G85" s="241"/>
      <c r="H85" s="241"/>
      <c r="I85" s="241"/>
      <c r="J85" s="241"/>
      <c r="K85" s="241"/>
      <c r="L85" s="241"/>
      <c r="M85" s="241"/>
      <c r="N85" s="241"/>
      <c r="O85" s="241"/>
      <c r="P85" s="241"/>
      <c r="Q85" s="241"/>
      <c r="R85" s="241"/>
      <c r="S85" s="241"/>
      <c r="T85" s="241"/>
      <c r="U85" s="241"/>
      <c r="V85" s="241"/>
      <c r="W85" s="241"/>
      <c r="X85" s="241"/>
    </row>
    <row r="86" spans="1:24" ht="12.75" customHeight="1">
      <c r="A86" s="236" t="s">
        <v>216</v>
      </c>
      <c r="B86" s="236"/>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1:24" ht="12.75">
      <c r="A87" s="240" t="s">
        <v>217</v>
      </c>
      <c r="B87" s="240"/>
      <c r="C87" s="241"/>
      <c r="D87" s="241"/>
      <c r="E87" s="241"/>
      <c r="F87" s="241"/>
      <c r="G87" s="241"/>
      <c r="H87" s="241"/>
      <c r="I87" s="241"/>
      <c r="J87" s="241"/>
      <c r="K87" s="241"/>
      <c r="L87" s="241"/>
      <c r="M87" s="241"/>
      <c r="N87" s="241"/>
      <c r="O87" s="241"/>
      <c r="P87" s="241"/>
      <c r="Q87" s="241"/>
      <c r="R87" s="241"/>
      <c r="S87" s="241"/>
      <c r="T87" s="241"/>
      <c r="U87" s="241"/>
      <c r="V87" s="241"/>
      <c r="W87" s="241"/>
      <c r="X87" s="241"/>
    </row>
    <row r="88" spans="1:24" ht="12.75">
      <c r="A88" s="240" t="s">
        <v>218</v>
      </c>
      <c r="B88" s="240"/>
      <c r="C88" s="241"/>
      <c r="D88" s="241"/>
      <c r="E88" s="241"/>
      <c r="F88" s="241"/>
      <c r="G88" s="241"/>
      <c r="H88" s="241"/>
      <c r="I88" s="241"/>
      <c r="J88" s="241"/>
      <c r="K88" s="241"/>
      <c r="L88" s="241"/>
      <c r="M88" s="241"/>
      <c r="N88" s="241"/>
      <c r="O88" s="241"/>
      <c r="P88" s="241"/>
      <c r="Q88" s="241"/>
      <c r="R88" s="241"/>
      <c r="S88" s="241"/>
      <c r="T88" s="241"/>
      <c r="U88" s="241"/>
      <c r="V88" s="241"/>
      <c r="W88" s="241"/>
      <c r="X88" s="241"/>
    </row>
    <row r="90" spans="1:24" ht="12.75">
      <c r="A90" s="244" t="s">
        <v>219</v>
      </c>
      <c r="B90" s="244"/>
      <c r="C90" s="245"/>
      <c r="D90" s="245"/>
      <c r="E90" s="245"/>
      <c r="F90" s="245"/>
      <c r="G90" s="245"/>
      <c r="H90" s="245"/>
      <c r="I90" s="245"/>
      <c r="J90" s="245"/>
      <c r="K90" s="245"/>
      <c r="L90" s="245"/>
      <c r="M90" s="245"/>
      <c r="N90" s="245"/>
      <c r="O90" s="245"/>
      <c r="P90" s="245"/>
      <c r="Q90" s="245"/>
      <c r="R90" s="245"/>
      <c r="S90" s="245"/>
      <c r="T90" s="245"/>
      <c r="U90" s="245"/>
      <c r="V90" s="245"/>
      <c r="W90" s="245"/>
      <c r="X90" s="245"/>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40" t="s">
        <v>220</v>
      </c>
      <c r="B92" s="240"/>
      <c r="C92" s="241"/>
      <c r="D92" s="241"/>
      <c r="E92" s="241"/>
      <c r="F92" s="241"/>
      <c r="G92" s="241"/>
      <c r="H92" s="241"/>
      <c r="I92" s="241"/>
      <c r="J92" s="241"/>
      <c r="K92" s="241"/>
      <c r="L92" s="241"/>
      <c r="M92" s="241"/>
      <c r="N92" s="241"/>
      <c r="O92" s="241"/>
      <c r="P92" s="241"/>
      <c r="Q92" s="241"/>
      <c r="R92" s="241"/>
      <c r="S92" s="241"/>
      <c r="T92" s="241"/>
      <c r="U92" s="241"/>
      <c r="V92" s="241"/>
      <c r="W92" s="241"/>
      <c r="X92" s="241"/>
    </row>
    <row r="93" spans="1:24" ht="12.75" customHeight="1">
      <c r="A93" s="236" t="s">
        <v>221</v>
      </c>
      <c r="B93" s="236"/>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1:24" ht="12.75" customHeight="1">
      <c r="A94" s="240" t="s">
        <v>222</v>
      </c>
      <c r="B94" s="240"/>
      <c r="C94" s="241"/>
      <c r="D94" s="241"/>
      <c r="E94" s="241"/>
      <c r="F94" s="241"/>
      <c r="G94" s="241"/>
      <c r="H94" s="241"/>
      <c r="I94" s="241"/>
      <c r="J94" s="241"/>
      <c r="K94" s="241"/>
      <c r="L94" s="241"/>
      <c r="M94" s="241"/>
      <c r="N94" s="241"/>
      <c r="O94" s="241"/>
      <c r="P94" s="241"/>
      <c r="Q94" s="241"/>
      <c r="R94" s="241"/>
      <c r="S94" s="241"/>
      <c r="T94" s="241"/>
      <c r="U94" s="241"/>
      <c r="V94" s="241"/>
      <c r="W94" s="241"/>
      <c r="X94" s="241"/>
    </row>
    <row r="95" spans="1:24" ht="12.75">
      <c r="A95" s="240" t="s">
        <v>223</v>
      </c>
      <c r="B95" s="240"/>
      <c r="C95" s="241"/>
      <c r="D95" s="241"/>
      <c r="E95" s="241"/>
      <c r="F95" s="241"/>
      <c r="G95" s="241"/>
      <c r="H95" s="241"/>
      <c r="I95" s="241"/>
      <c r="J95" s="241"/>
      <c r="K95" s="241"/>
      <c r="L95" s="241"/>
      <c r="M95" s="241"/>
      <c r="N95" s="241"/>
      <c r="O95" s="241"/>
      <c r="P95" s="241"/>
      <c r="Q95" s="241"/>
      <c r="R95" s="241"/>
      <c r="S95" s="241"/>
      <c r="T95" s="241"/>
      <c r="U95" s="241"/>
      <c r="V95" s="241"/>
      <c r="W95" s="241"/>
      <c r="X95" s="241"/>
    </row>
    <row r="96" spans="1:24" ht="12.75" customHeight="1">
      <c r="A96" s="236"/>
      <c r="B96" s="236"/>
      <c r="C96" s="237"/>
      <c r="D96" s="237"/>
      <c r="E96" s="237"/>
      <c r="F96" s="237"/>
      <c r="G96" s="237"/>
      <c r="H96" s="237"/>
      <c r="I96" s="237"/>
      <c r="J96" s="237"/>
      <c r="K96" s="237"/>
      <c r="L96" s="237"/>
      <c r="M96" s="237"/>
      <c r="N96" s="237"/>
      <c r="O96" s="237"/>
      <c r="P96" s="237"/>
      <c r="Q96" s="237"/>
      <c r="R96" s="237"/>
      <c r="S96" s="237"/>
      <c r="T96" s="237"/>
      <c r="U96" s="237"/>
      <c r="V96" s="237"/>
      <c r="W96" s="237"/>
      <c r="X96" s="237"/>
    </row>
    <row r="97" spans="1:24" ht="12.75">
      <c r="A97" s="244" t="s">
        <v>224</v>
      </c>
      <c r="B97" s="244"/>
      <c r="C97" s="245"/>
      <c r="D97" s="245"/>
      <c r="E97" s="245"/>
      <c r="F97" s="245"/>
      <c r="G97" s="245"/>
      <c r="H97" s="245"/>
      <c r="I97" s="245"/>
      <c r="J97" s="245"/>
      <c r="K97" s="245"/>
      <c r="L97" s="245"/>
      <c r="M97" s="245"/>
      <c r="N97" s="245"/>
      <c r="O97" s="245"/>
      <c r="P97" s="245"/>
      <c r="Q97" s="245"/>
      <c r="R97" s="245"/>
      <c r="S97" s="245"/>
      <c r="T97" s="245"/>
      <c r="U97" s="245"/>
      <c r="V97" s="245"/>
      <c r="W97" s="245"/>
      <c r="X97" s="245"/>
    </row>
    <row r="98" spans="1:24" ht="12.75" customHeight="1">
      <c r="A98" s="236"/>
      <c r="B98" s="236"/>
      <c r="C98" s="237"/>
      <c r="D98" s="237"/>
      <c r="E98" s="237"/>
      <c r="F98" s="237"/>
      <c r="G98" s="237"/>
      <c r="H98" s="237"/>
      <c r="I98" s="237"/>
      <c r="J98" s="237"/>
      <c r="K98" s="237"/>
      <c r="L98" s="237"/>
      <c r="M98" s="237"/>
      <c r="N98" s="237"/>
      <c r="O98" s="237"/>
      <c r="P98" s="237"/>
      <c r="Q98" s="237"/>
      <c r="R98" s="237"/>
      <c r="S98" s="237"/>
      <c r="T98" s="237"/>
      <c r="U98" s="237"/>
      <c r="V98" s="237"/>
      <c r="W98" s="237"/>
      <c r="X98" s="237"/>
    </row>
    <row r="99" spans="1:24" ht="12.75" customHeight="1">
      <c r="A99" s="240" t="s">
        <v>225</v>
      </c>
      <c r="B99" s="240"/>
      <c r="C99" s="241"/>
      <c r="D99" s="241"/>
      <c r="E99" s="241"/>
      <c r="F99" s="241"/>
      <c r="G99" s="241"/>
      <c r="H99" s="241"/>
      <c r="I99" s="241"/>
      <c r="J99" s="241"/>
      <c r="K99" s="241"/>
      <c r="L99" s="241"/>
      <c r="M99" s="241"/>
      <c r="N99" s="241"/>
      <c r="O99" s="241"/>
      <c r="P99" s="241"/>
      <c r="Q99" s="241"/>
      <c r="R99" s="241"/>
      <c r="S99" s="241"/>
      <c r="T99" s="241"/>
      <c r="U99" s="241"/>
      <c r="V99" s="241"/>
      <c r="W99" s="241"/>
      <c r="X99" s="241"/>
    </row>
    <row r="100" spans="1:24" ht="12.75" customHeight="1">
      <c r="A100" s="240" t="s">
        <v>226</v>
      </c>
      <c r="B100" s="240"/>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row>
    <row r="101" spans="1:24" ht="12.75">
      <c r="A101" s="240" t="s">
        <v>227</v>
      </c>
      <c r="B101" s="240"/>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 ca="1">T38</f>
        <v>0.2644</v>
      </c>
    </row>
    <row r="109" spans="1:19" ht="12.75">
      <c r="A109"/>
      <c r="E109"/>
      <c r="F109"/>
      <c r="G109" s="31"/>
      <c r="H109" s="31"/>
      <c r="L109" s="82" t="s">
        <v>133</v>
      </c>
      <c r="P109" s="31"/>
      <c r="S109" s="208" t="str">
        <f ca="1">U38</f>
        <v/>
      </c>
    </row>
    <row r="110" spans="1:19" ht="12.75" customHeight="1">
      <c r="A110"/>
      <c r="E110"/>
      <c r="F110"/>
      <c r="G110" s="31"/>
      <c r="H110" s="31"/>
      <c r="L110" s="82" t="s">
        <v>134</v>
      </c>
      <c r="P110" s="31"/>
      <c r="S110" s="208" t="str">
        <f ca="1">V38</f>
        <v/>
      </c>
    </row>
    <row r="111" spans="1:19" ht="12.75">
      <c r="A111"/>
      <c r="E111"/>
      <c r="F111"/>
      <c r="G111" s="31"/>
      <c r="H111" s="31"/>
      <c r="L111" s="82" t="s">
        <v>135</v>
      </c>
      <c r="P111" s="31"/>
      <c r="S111" s="208" t="str">
        <f ca="1">W38</f>
        <v/>
      </c>
    </row>
    <row r="112" spans="1:19" ht="12.75" customHeight="1">
      <c r="A112"/>
      <c r="E112"/>
      <c r="F112"/>
      <c r="G112" s="31"/>
      <c r="H112" s="31"/>
      <c r="L112" s="82" t="s">
        <v>136</v>
      </c>
      <c r="P112" s="31"/>
      <c r="S112" s="208" t="str">
        <f ca="1">X38</f>
        <v/>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46" t="str">
        <f>A28</f>
        <v>Nº OPERAÇÃO</v>
      </c>
      <c r="B220" s="248"/>
      <c r="C220" s="246" t="str">
        <f>C28</f>
        <v>GESTOR</v>
      </c>
      <c r="D220" s="247"/>
      <c r="E220" s="248"/>
      <c r="F220" s="246" t="str">
        <f>F28</f>
        <v>PROGRAMA</v>
      </c>
      <c r="G220" s="247"/>
      <c r="H220" s="247"/>
      <c r="I220" s="248"/>
      <c r="J220" s="246" t="str">
        <f>J28</f>
        <v>AÇÃO / MODALIDADE</v>
      </c>
      <c r="K220" s="247"/>
      <c r="L220" s="247"/>
      <c r="M220" s="247"/>
      <c r="N220" s="247"/>
      <c r="O220" s="248"/>
      <c r="P220" s="246" t="str">
        <f>P28</f>
        <v>OBJETO</v>
      </c>
      <c r="Q220" s="247"/>
      <c r="R220" s="247"/>
      <c r="S220" s="247"/>
      <c r="T220" s="247"/>
      <c r="U220" s="247"/>
      <c r="V220" s="247"/>
      <c r="W220" s="247"/>
      <c r="X220" s="248"/>
    </row>
    <row r="221" spans="1:24" ht="12.75" customHeight="1">
      <c r="A221" s="282" t="str">
        <f>IF(A29="","",A29)</f>
        <v>1.011.818-44/13</v>
      </c>
      <c r="B221" s="284"/>
      <c r="C221" s="282" t="str">
        <f>IF(C29="","",C29)</f>
        <v>MINISTÉRIO DO ESPORTE</v>
      </c>
      <c r="D221" s="283"/>
      <c r="E221" s="284"/>
      <c r="F221" s="282" t="str">
        <f>IF(F29="","",F29)</f>
        <v>ESPORTE EDUCACIONAL, RECREATIVO E DE LAZER</v>
      </c>
      <c r="G221" s="283"/>
      <c r="H221" s="283"/>
      <c r="I221" s="284"/>
      <c r="J221" s="282" t="str">
        <f>IF(J29="","",J29)</f>
        <v/>
      </c>
      <c r="K221" s="283"/>
      <c r="L221" s="283" t="e">
        <f>IF(#REF!="","",#REF!)</f>
        <v>#REF!</v>
      </c>
      <c r="M221" s="283"/>
      <c r="N221" s="283" t="e">
        <f>IF(#REF!="","",#REF!)</f>
        <v>#REF!</v>
      </c>
      <c r="O221" s="284"/>
      <c r="P221" s="282" t="str">
        <f>IF(P29="","",P29)</f>
        <v>IMPLANTAÇÃO E MODERNIZAÇÃO DE INFRAESTRUTURA PARA O ESPORTE EDUCACIONAL, RECREATVIO E DE LAZER</v>
      </c>
      <c r="Q221" s="283"/>
      <c r="R221" s="283"/>
      <c r="S221" s="283"/>
      <c r="T221" s="283"/>
      <c r="U221" s="283"/>
      <c r="V221" s="283"/>
      <c r="W221" s="283"/>
      <c r="X221" s="284"/>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46" t="str">
        <f>A31</f>
        <v>PROPONENTE / TOMADOR</v>
      </c>
      <c r="B223" s="247"/>
      <c r="C223" s="247"/>
      <c r="D223" s="247"/>
      <c r="E223" s="247"/>
      <c r="F223" s="247"/>
      <c r="G223" s="246" t="str">
        <f>G31</f>
        <v>MUNICÍPIO / UF</v>
      </c>
      <c r="H223" s="247"/>
      <c r="I223" s="247"/>
      <c r="J223" s="248"/>
      <c r="K223" s="246" t="str">
        <f>K31</f>
        <v>LOCALIDADE / ENDEREÇO</v>
      </c>
      <c r="L223" s="247"/>
      <c r="M223" s="247"/>
      <c r="N223" s="247"/>
      <c r="O223" s="247"/>
      <c r="P223" s="248"/>
      <c r="Q223" s="246" t="str">
        <f>Q31</f>
        <v>APELIDO DO EMPREENDIMENTO</v>
      </c>
      <c r="R223" s="247"/>
      <c r="S223" s="247"/>
      <c r="T223" s="247"/>
      <c r="U223" s="247"/>
      <c r="V223" s="247"/>
      <c r="W223" s="247"/>
      <c r="X223" s="248"/>
    </row>
    <row r="224" spans="1:24" ht="12.75" customHeight="1">
      <c r="A224" s="280" t="str">
        <f>IF(A32="","",A32)</f>
        <v>MUNICÍPIO DE RIQUEZA</v>
      </c>
      <c r="B224" s="281"/>
      <c r="C224" s="281"/>
      <c r="D224" s="281"/>
      <c r="E224" s="281"/>
      <c r="F224" s="281"/>
      <c r="G224" s="282" t="str">
        <f>IF(G32="","",G32)</f>
        <v>RIQUEZA / SC</v>
      </c>
      <c r="H224" s="283" t="str">
        <f>IF(I32="","",I32)</f>
        <v/>
      </c>
      <c r="I224" s="283"/>
      <c r="J224" s="284" t="e">
        <f>IF(#REF!="","",#REF!)</f>
        <v>#REF!</v>
      </c>
      <c r="K224" s="282" t="str">
        <f>IF(K32="","",K32)</f>
        <v>LINHA CONCEIÇÃO</v>
      </c>
      <c r="L224" s="283"/>
      <c r="M224" s="283"/>
      <c r="N224" s="283"/>
      <c r="O224" s="283"/>
      <c r="P224" s="284"/>
      <c r="Q224" s="282" t="str">
        <f>IF(Q32="","",Q32)</f>
        <v>QUADRA COBERTA</v>
      </c>
      <c r="R224" s="283"/>
      <c r="S224" s="283"/>
      <c r="T224" s="283"/>
      <c r="U224" s="283"/>
      <c r="V224" s="283"/>
      <c r="W224" s="283"/>
      <c r="X224" s="284"/>
    </row>
    <row r="225" spans="1:24" ht="6" customHeight="1" hidden="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hidden="1">
      <c r="A226" s="246" t="str">
        <f>A37</f>
        <v>DATA BASE</v>
      </c>
      <c r="B226" s="248"/>
      <c r="C226" s="135" t="str">
        <f>C37</f>
        <v>DESON.</v>
      </c>
      <c r="D226" s="246" t="str">
        <f>D37</f>
        <v>LOCALIDADE DO SINAPI</v>
      </c>
      <c r="E226" s="247"/>
      <c r="F226" s="248"/>
      <c r="G226" s="246" t="str">
        <f>G37</f>
        <v>DESCRIÇÃO DO LOTE</v>
      </c>
      <c r="H226" s="247"/>
      <c r="I226" s="247"/>
      <c r="J226" s="247"/>
      <c r="K226" s="247"/>
      <c r="L226" s="247"/>
      <c r="M226" s="247"/>
      <c r="N226" s="247"/>
      <c r="O226" s="247"/>
      <c r="P226" s="247"/>
      <c r="Q226" s="247"/>
      <c r="R226" s="247"/>
      <c r="S226" s="248"/>
      <c r="T226" s="136" t="str">
        <f>T37</f>
        <v>BDI 1</v>
      </c>
      <c r="U226" s="136" t="str">
        <f>U37</f>
        <v>BDI 2</v>
      </c>
      <c r="V226" s="136" t="str">
        <f>V37</f>
        <v>BDI 3</v>
      </c>
      <c r="W226" s="136" t="str">
        <f>W37</f>
        <v>BDI 4</v>
      </c>
      <c r="X226" s="136" t="str">
        <f>X37</f>
        <v>BDI 5</v>
      </c>
    </row>
    <row r="227" spans="1:24" ht="12.75" customHeight="1" hidden="1">
      <c r="A227" s="287">
        <f>IF(A38="","",A38)</f>
        <v>42948</v>
      </c>
      <c r="B227" s="288"/>
      <c r="C227" s="137" t="str">
        <f aca="true" t="shared" si="0" ref="C227:X227">IF(C38="","",C38)</f>
        <v>Sim</v>
      </c>
      <c r="D227" s="289" t="str">
        <f t="shared" si="0"/>
        <v>Florianópolis / SC</v>
      </c>
      <c r="E227" s="290" t="str">
        <f t="shared" si="0"/>
        <v/>
      </c>
      <c r="F227" s="291" t="str">
        <f t="shared" si="0"/>
        <v/>
      </c>
      <c r="G227" s="289" t="str">
        <f t="shared" si="0"/>
        <v>VEDAÇÃO EM ALVENARIA DA LATERAIS DA QUADRA DE ESPORTE COBERTA</v>
      </c>
      <c r="H227" s="290" t="str">
        <f t="shared" si="0"/>
        <v/>
      </c>
      <c r="I227" s="290" t="str">
        <f t="shared" si="0"/>
        <v/>
      </c>
      <c r="J227" s="290" t="str">
        <f t="shared" si="0"/>
        <v/>
      </c>
      <c r="K227" s="290" t="str">
        <f t="shared" si="0"/>
        <v/>
      </c>
      <c r="L227" s="290" t="str">
        <f t="shared" si="0"/>
        <v/>
      </c>
      <c r="M227" s="290" t="str">
        <f t="shared" si="0"/>
        <v/>
      </c>
      <c r="N227" s="290" t="str">
        <f t="shared" si="0"/>
        <v/>
      </c>
      <c r="O227" s="290" t="str">
        <f t="shared" si="0"/>
        <v/>
      </c>
      <c r="P227" s="290" t="str">
        <f t="shared" si="0"/>
        <v/>
      </c>
      <c r="Q227" s="290" t="str">
        <f t="shared" si="0"/>
        <v/>
      </c>
      <c r="R227" s="290" t="str">
        <f t="shared" si="0"/>
        <v/>
      </c>
      <c r="S227" s="291" t="str">
        <f t="shared" si="0"/>
        <v/>
      </c>
      <c r="T227" s="139">
        <f ca="1" t="shared" si="0"/>
        <v>0.2644</v>
      </c>
      <c r="U227" s="96" t="str">
        <f ca="1" t="shared" si="0"/>
        <v/>
      </c>
      <c r="V227" s="96" t="str">
        <f ca="1" t="shared" si="0"/>
        <v/>
      </c>
      <c r="W227" s="96" t="str">
        <f ca="1" t="shared" si="0"/>
        <v/>
      </c>
      <c r="X227" s="96" t="str">
        <f ca="1" t="shared" si="0"/>
        <v/>
      </c>
    </row>
    <row r="228" spans="1:24" ht="6" customHeight="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c r="A229" s="246" t="s">
        <v>87</v>
      </c>
      <c r="B229" s="248"/>
      <c r="C229" s="246" t="s">
        <v>163</v>
      </c>
      <c r="D229" s="247"/>
      <c r="E229" s="247"/>
      <c r="F229" s="247"/>
      <c r="G229" s="247"/>
      <c r="H229" s="246" t="s">
        <v>16</v>
      </c>
      <c r="I229" s="247"/>
      <c r="J229" s="134" t="s">
        <v>91</v>
      </c>
      <c r="K229" s="246" t="s">
        <v>88</v>
      </c>
      <c r="L229" s="247"/>
      <c r="M229" s="248"/>
      <c r="N229" s="134" t="s">
        <v>92</v>
      </c>
      <c r="O229" s="246" t="s">
        <v>93</v>
      </c>
      <c r="P229" s="247"/>
      <c r="Q229" s="247"/>
      <c r="R229" s="247"/>
      <c r="S229" s="247"/>
      <c r="T229" s="248"/>
      <c r="U229" s="285" t="s">
        <v>89</v>
      </c>
      <c r="V229" s="286"/>
      <c r="W229" s="285" t="s">
        <v>90</v>
      </c>
      <c r="X229" s="286"/>
    </row>
    <row r="230" spans="1:24" s="21" customFormat="1" ht="12.75" customHeight="1">
      <c r="A230" s="289" t="str">
        <f>IF(A43="","",A43)</f>
        <v/>
      </c>
      <c r="B230" s="291"/>
      <c r="C230" s="289" t="str">
        <f>IF(C43="","",C43)</f>
        <v/>
      </c>
      <c r="D230" s="290"/>
      <c r="E230" s="290" t="str">
        <f>IF(E43="","",E43)</f>
        <v/>
      </c>
      <c r="F230" s="290"/>
      <c r="G230" s="290" t="str">
        <f>IF(G43="","",G43)</f>
        <v/>
      </c>
      <c r="H230" s="305" t="str">
        <f>IF(H43="","",H43)</f>
        <v/>
      </c>
      <c r="I230" s="306" t="str">
        <f>IF(I43="","",I43)</f>
        <v/>
      </c>
      <c r="J230" s="138" t="str">
        <f>IF(J43="","",J43)</f>
        <v/>
      </c>
      <c r="K230" s="297" t="str">
        <f>IF(K43="","",K43)</f>
        <v/>
      </c>
      <c r="L230" s="299"/>
      <c r="M230" s="300" t="str">
        <f>IF(M43="","",M43)</f>
        <v/>
      </c>
      <c r="N230" s="140" t="str">
        <f>IF(N43="","",N43)</f>
        <v/>
      </c>
      <c r="O230" s="297" t="str">
        <f>IF(O43="","",O43)</f>
        <v/>
      </c>
      <c r="P230" s="298"/>
      <c r="Q230" s="298" t="str">
        <f>IF(Q43="","",Q43)</f>
        <v/>
      </c>
      <c r="R230" s="299"/>
      <c r="S230" s="299" t="str">
        <f>IF(S43="","",S43)</f>
        <v/>
      </c>
      <c r="T230" s="300"/>
      <c r="U230" s="303" t="str">
        <f>IF(U43="","",U43)</f>
        <v/>
      </c>
      <c r="V230" s="304"/>
      <c r="W230" s="301" t="str">
        <f>IF(W43="","",W43)</f>
        <v/>
      </c>
      <c r="X230" s="302"/>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algorithmName="SHA-512" hashValue="LYLvPITqzUtWDMMdrUFw1M9wzbO2AZ54ymlNmaAZJW6XUYmZRP7lPnJut0D+NgskkYovHHljpEQJSyJam6rYZg==" saltValue="c1mZIxvr+m+/MC57PSeGtQ==" spinCount="100000"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conditionalFormatting sqref="B54:E55 B56 B57:E57">
    <cfRule type="expression" priority="42" dxfId="83" stopIfTrue="1">
      <formula>$B54&lt;&gt;""</formula>
    </cfRule>
  </conditionalFormatting>
  <conditionalFormatting sqref="A48 H54:K54 H55:H56 H57:K57 A29:C29 J29 F29 A32 P29 G32 K32">
    <cfRule type="expression" priority="48" dxfId="83" stopIfTrue="1">
      <formula>A29&lt;&gt;""</formula>
    </cfRule>
  </conditionalFormatting>
  <conditionalFormatting sqref="G53:K54 G55:H56 G57:K57">
    <cfRule type="expression" priority="43" dxfId="305" stopIfTrue="1">
      <formula>$K$52&lt;&gt;"SIM"</formula>
    </cfRule>
  </conditionalFormatting>
  <conditionalFormatting sqref="A40:X43">
    <cfRule type="expression" priority="56" dxfId="68" stopIfTrue="1">
      <formula>OR(TipoOrçamento="BASE",TipoOrçamento="REPROGRAMADONPL")</formula>
    </cfRule>
    <cfRule type="expression" priority="57" dxfId="83" stopIfTrue="1">
      <formula>A40&lt;&gt;""</formula>
    </cfRule>
  </conditionalFormatting>
  <conditionalFormatting sqref="A35:X38">
    <cfRule type="expression" priority="58" dxfId="68" stopIfTrue="1">
      <formula>OR(TipoOrçamento="LICITADO",TipoOrçamento="REPROGRAMADOAC")</formula>
    </cfRule>
    <cfRule type="expression" priority="59" dxfId="83" stopIfTrue="1">
      <formula>A35&lt;&gt;""</formula>
    </cfRule>
  </conditionalFormatting>
  <conditionalFormatting sqref="Q32">
    <cfRule type="expression" priority="1" dxfId="83"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rintOptions/>
  <pageMargins left="0.78740157480315" right="0.78740157480315" top="0.78740157480315" bottom="0.78740157480315" header="5.70866141732284" footer="0.590551181102362"/>
  <pageSetup fitToHeight="1" fitToWidth="1" horizontalDpi="600" verticalDpi="600" orientation="portrait" paperSize="9" scale="41" r:id="rId1"/>
  <headerFooter alignWithMargins="0">
    <oddHeader>&amp;L_</oddHeader>
    <oddFooter>&amp;L27.476 v008   micro&amp;R&amp;P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tabColor rgb="FFFFFF00"/>
    <pageSetUpPr fitToPage="1"/>
  </sheetPr>
  <dimension ref="A1:AE60"/>
  <sheetViews>
    <sheetView showGridLines="0" zoomScaleSheetLayoutView="100" zoomScalePageLayoutView="70" workbookViewId="0" topLeftCell="I10">
      <selection activeCell="Q13" sqref="Q13:R13"/>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38" t="s">
        <v>150</v>
      </c>
      <c r="J4" s="249"/>
      <c r="K4" s="238" t="s">
        <v>173</v>
      </c>
      <c r="L4" s="239"/>
      <c r="M4" s="239"/>
      <c r="N4" s="239"/>
      <c r="O4" s="239"/>
      <c r="P4" s="239"/>
      <c r="Q4" s="239"/>
      <c r="R4" s="249"/>
    </row>
    <row r="5" spans="1:19" ht="12.75" customHeight="1">
      <c r="A5" s="52" t="str">
        <f>A4</f>
        <v>Construção e Reforma de Edifícios</v>
      </c>
      <c r="B5" s="54" t="s">
        <v>32</v>
      </c>
      <c r="C5" s="52" t="str">
        <f t="shared" si="0"/>
        <v>Construção e Reforma de Edifícios-DF</v>
      </c>
      <c r="E5" s="55">
        <v>0.0059</v>
      </c>
      <c r="F5" s="55">
        <v>0.0123</v>
      </c>
      <c r="G5" s="55">
        <v>0.0139</v>
      </c>
      <c r="I5" s="342" t="str">
        <f>DADOS!A29</f>
        <v>1.011.818-44/13</v>
      </c>
      <c r="J5" s="343"/>
      <c r="K5" s="344" t="str">
        <f>DADOS!A32</f>
        <v>MUNICÍPIO DE RIQUEZA</v>
      </c>
      <c r="L5" s="345"/>
      <c r="M5" s="345"/>
      <c r="N5" s="345"/>
      <c r="O5" s="345"/>
      <c r="P5" s="345"/>
      <c r="Q5" s="345"/>
      <c r="R5" s="346"/>
      <c r="S5" s="57"/>
    </row>
    <row r="6" spans="1:18" ht="6" customHeight="1">
      <c r="A6" s="52" t="str">
        <f>A5</f>
        <v>Construção e Reforma de Edifícios</v>
      </c>
      <c r="B6" s="54" t="s">
        <v>164</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38" t="s">
        <v>0</v>
      </c>
      <c r="J7" s="239"/>
      <c r="K7" s="239"/>
      <c r="L7" s="239"/>
      <c r="M7" s="239"/>
      <c r="N7" s="239"/>
      <c r="O7" s="239"/>
      <c r="P7" s="239"/>
      <c r="Q7" s="239"/>
      <c r="R7" s="249"/>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7" t="str">
        <f>DADOS!P29</f>
        <v>IMPLANTAÇÃO E MODERNIZAÇÃO DE INFRAESTRUTURA PARA O ESPORTE EDUCACIONAL, RECREATVIO E DE LAZER</v>
      </c>
      <c r="J8" s="347"/>
      <c r="K8" s="347"/>
      <c r="L8" s="347"/>
      <c r="M8" s="347"/>
      <c r="N8" s="347"/>
      <c r="O8" s="347"/>
      <c r="P8" s="347"/>
      <c r="Q8" s="347"/>
      <c r="R8" s="347"/>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38" t="s">
        <v>35</v>
      </c>
      <c r="J10" s="239"/>
      <c r="K10" s="239"/>
      <c r="L10" s="239"/>
      <c r="M10" s="239"/>
      <c r="N10" s="239"/>
      <c r="O10" s="239"/>
      <c r="P10" s="239"/>
      <c r="Q10" s="238" t="s">
        <v>13</v>
      </c>
      <c r="R10" s="249"/>
    </row>
    <row r="11" spans="1:18" ht="12.75">
      <c r="A11" s="52" t="s">
        <v>34</v>
      </c>
      <c r="B11" s="54" t="s">
        <v>32</v>
      </c>
      <c r="C11" s="52" t="str">
        <f t="shared" si="0"/>
        <v>Construção de Praças Urbanas, Rodovias, Ferrovias e recapeamento e pavimentação de vias urbanas-DF</v>
      </c>
      <c r="E11" s="55">
        <v>0.0102</v>
      </c>
      <c r="F11" s="55">
        <v>0.0111</v>
      </c>
      <c r="G11" s="55">
        <v>0.0121</v>
      </c>
      <c r="I11" s="337" t="s">
        <v>28</v>
      </c>
      <c r="J11" s="338"/>
      <c r="K11" s="338"/>
      <c r="L11" s="338"/>
      <c r="M11" s="338"/>
      <c r="N11" s="338"/>
      <c r="O11" s="338"/>
      <c r="P11" s="339"/>
      <c r="Q11" s="340" t="str">
        <f>DADOS!$C$38</f>
        <v>Sim</v>
      </c>
      <c r="R11" s="341"/>
    </row>
    <row r="12" spans="1:7" ht="12.75">
      <c r="A12" s="52" t="s">
        <v>34</v>
      </c>
      <c r="B12" s="54" t="s">
        <v>164</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52" t="s">
        <v>36</v>
      </c>
      <c r="J13" s="352"/>
      <c r="K13" s="352"/>
      <c r="L13" s="352"/>
      <c r="M13" s="352"/>
      <c r="N13" s="352"/>
      <c r="O13" s="352"/>
      <c r="P13" s="352"/>
      <c r="Q13" s="349">
        <v>1</v>
      </c>
      <c r="R13" s="349"/>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50" t="s">
        <v>38</v>
      </c>
      <c r="J14" s="350"/>
      <c r="K14" s="350"/>
      <c r="L14" s="350"/>
      <c r="M14" s="350"/>
      <c r="N14" s="350"/>
      <c r="O14" s="350"/>
      <c r="P14" s="350"/>
      <c r="Q14" s="349">
        <v>0.03</v>
      </c>
      <c r="R14" s="349"/>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51" t="s">
        <v>39</v>
      </c>
      <c r="J16" s="351"/>
      <c r="K16" s="351"/>
      <c r="L16" s="351"/>
      <c r="M16" s="351" t="s">
        <v>40</v>
      </c>
      <c r="N16" s="354" t="s">
        <v>41</v>
      </c>
      <c r="O16" s="354" t="s">
        <v>42</v>
      </c>
      <c r="P16" s="353" t="s">
        <v>43</v>
      </c>
      <c r="Q16" s="353" t="s">
        <v>44</v>
      </c>
      <c r="R16" s="331" t="s">
        <v>45</v>
      </c>
      <c r="T16" s="328" t="str">
        <f>IF(V27,"Para BDI fora do intervalo estatístico, deve ser apresentado Relatório Técnico Circunstanciado justificando a adoção do percentual de cada parcela do BDI.","")</f>
        <v/>
      </c>
      <c r="U16" s="328"/>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51"/>
      <c r="J17" s="351"/>
      <c r="K17" s="351"/>
      <c r="L17" s="351"/>
      <c r="M17" s="351"/>
      <c r="N17" s="354"/>
      <c r="O17" s="354"/>
      <c r="P17" s="353"/>
      <c r="Q17" s="353"/>
      <c r="R17" s="331"/>
      <c r="T17" s="328"/>
      <c r="U17" s="328"/>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16" t="str">
        <f>IF($I$11=$A$59,"Encargos Sociais incidentes sobre a mão de obra","Administração Central")</f>
        <v>Administração Central</v>
      </c>
      <c r="J18" s="316"/>
      <c r="K18" s="316"/>
      <c r="L18" s="316"/>
      <c r="M18" s="60" t="str">
        <f>IF($I$11=$A$59,"K1","AC")</f>
        <v>AC</v>
      </c>
      <c r="N18" s="61">
        <v>0.03</v>
      </c>
      <c r="O18" s="62" t="s">
        <v>46</v>
      </c>
      <c r="P18" s="63">
        <f>VLOOKUP(CONCATENATE(I$11,"-",M18),$C$2:$G$49,3,FALSE)</f>
        <v>0.03</v>
      </c>
      <c r="Q18" s="63">
        <f>VLOOKUP(CONCATENATE(I$11,"-",M18),$C$2:$G$49,4,FALSE)</f>
        <v>0.04</v>
      </c>
      <c r="R18" s="63">
        <f>VLOOKUP(CONCATENATE(I$11,"-",M18),$C$2:$G$49,5,FALSE)</f>
        <v>0.055</v>
      </c>
      <c r="T18" s="328"/>
      <c r="U18" s="328"/>
      <c r="V18" s="108"/>
      <c r="W18" s="108"/>
      <c r="X18" s="108"/>
      <c r="Y18" s="108"/>
      <c r="Z18" s="108"/>
      <c r="AA18" s="108"/>
      <c r="AB18" s="108"/>
      <c r="AC18" s="108"/>
    </row>
    <row r="19" spans="1:29" ht="26.25" customHeight="1">
      <c r="A19" s="52" t="str">
        <f>A18</f>
        <v>Construção de Redes de Abastecimento de Água, Coleta de Esgoto</v>
      </c>
      <c r="B19" s="54" t="s">
        <v>164</v>
      </c>
      <c r="C19" s="52" t="str">
        <f t="shared" si="0"/>
        <v>Construção de Redes de Abastecimento de Água, Coleta de Esgoto-L</v>
      </c>
      <c r="E19" s="55">
        <v>0.0674</v>
      </c>
      <c r="F19" s="55">
        <v>0.08039999999999999</v>
      </c>
      <c r="G19" s="55">
        <v>0.094</v>
      </c>
      <c r="I19" s="316" t="str">
        <f>IF($I$11=$A$59,"Administração Central da empresa ou consultoria - overhead","Seguro e Garantia")</f>
        <v>Seguro e Garantia</v>
      </c>
      <c r="J19" s="316"/>
      <c r="K19" s="316"/>
      <c r="L19" s="316"/>
      <c r="M19" s="60" t="str">
        <f>IF($I$11=$A$59,"K2","SG")</f>
        <v>SG</v>
      </c>
      <c r="N19" s="61">
        <v>0.008</v>
      </c>
      <c r="O19" s="62" t="s">
        <v>46</v>
      </c>
      <c r="P19" s="63">
        <f>VLOOKUP(CONCATENATE(I$11,"-",M19),$C$2:$G$49,3,FALSE)</f>
        <v>0.008</v>
      </c>
      <c r="Q19" s="63">
        <f>VLOOKUP(CONCATENATE(I$11,"-",M19),$C$2:$G$49,4,FALSE)</f>
        <v>0.008</v>
      </c>
      <c r="R19" s="63">
        <f>VLOOKUP(CONCATENATE(I$11,"-",M19),$C$2:$G$49,5,FALSE)</f>
        <v>0.01</v>
      </c>
      <c r="T19" s="328"/>
      <c r="U19" s="328"/>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16" t="str">
        <f>IF($I$11=$A$59,"","Risco")</f>
        <v>Risco</v>
      </c>
      <c r="J20" s="316"/>
      <c r="K20" s="316"/>
      <c r="L20" s="316"/>
      <c r="M20" s="60" t="str">
        <f>IF($I$11=$A$59,"","R")</f>
        <v>R</v>
      </c>
      <c r="N20" s="61">
        <v>0.0097</v>
      </c>
      <c r="O20" s="62" t="s">
        <v>46</v>
      </c>
      <c r="P20" s="63">
        <f>VLOOKUP(CONCATENATE(I$11,"-",M20),$C$2:$G$49,3,FALSE)</f>
        <v>0.0097</v>
      </c>
      <c r="Q20" s="63">
        <f>VLOOKUP(CONCATENATE(I$11,"-",M20),$C$2:$G$49,4,FALSE)</f>
        <v>0.0127</v>
      </c>
      <c r="R20" s="63">
        <f>VLOOKUP(CONCATENATE(I$11,"-",M20),$C$2:$G$49,5,FALSE)</f>
        <v>0.0127</v>
      </c>
      <c r="T20" s="328"/>
      <c r="U20" s="328"/>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16" t="str">
        <f>IF($I$11=$A$59,"","Despesas Financeiras")</f>
        <v>Despesas Financeiras</v>
      </c>
      <c r="J21" s="316"/>
      <c r="K21" s="316"/>
      <c r="L21" s="316"/>
      <c r="M21" s="60" t="str">
        <f>IF($I$11=$A$59,"","DF")</f>
        <v>DF</v>
      </c>
      <c r="N21" s="61">
        <v>0.0059</v>
      </c>
      <c r="O21" s="62" t="s">
        <v>46</v>
      </c>
      <c r="P21" s="63">
        <f>VLOOKUP(CONCATENATE(I$11,"-",M21),$C$2:$G$49,3,FALSE)</f>
        <v>0.0059</v>
      </c>
      <c r="Q21" s="63">
        <f>VLOOKUP(CONCATENATE(I$11,"-",M21),$C$2:$G$49,4,FALSE)</f>
        <v>0.0123</v>
      </c>
      <c r="R21" s="63">
        <f>VLOOKUP(CONCATENATE(I$11,"-",M21),$C$2:$G$49,5,FALSE)</f>
        <v>0.0139</v>
      </c>
      <c r="T21" s="328"/>
      <c r="U21" s="328"/>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16" t="str">
        <f>IF($I$11=$A$59,"Margem bruta da empresa de consultoria","Lucro")</f>
        <v>Lucro</v>
      </c>
      <c r="J22" s="316"/>
      <c r="K22" s="316"/>
      <c r="L22" s="316"/>
      <c r="M22" s="60" t="str">
        <f>IF($I$11=$A$59,"K3","L")</f>
        <v>L</v>
      </c>
      <c r="N22" s="61">
        <v>0.066</v>
      </c>
      <c r="O22" s="62" t="s">
        <v>46</v>
      </c>
      <c r="P22" s="63">
        <f>VLOOKUP(CONCATENATE(I$11,"-",M22),$C$2:$G$49,3,FALSE)</f>
        <v>0.0616</v>
      </c>
      <c r="Q22" s="63">
        <f>VLOOKUP(CONCATENATE(I$11,"-",M22),$C$2:$G$49,4,FALSE)</f>
        <v>0.07400000000000001</v>
      </c>
      <c r="R22" s="63">
        <f>VLOOKUP(CONCATENATE(I$11,"-",M22),$C$2:$G$49,5,FALSE)</f>
        <v>0.08960000000000001</v>
      </c>
      <c r="T22" s="328"/>
      <c r="U22" s="328"/>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0" t="s">
        <v>48</v>
      </c>
      <c r="J23" s="330"/>
      <c r="K23" s="330"/>
      <c r="L23" s="330"/>
      <c r="M23" s="60" t="s">
        <v>49</v>
      </c>
      <c r="N23" s="61">
        <v>0.0365</v>
      </c>
      <c r="O23" s="62" t="s">
        <v>46</v>
      </c>
      <c r="P23" s="63">
        <v>0.0365</v>
      </c>
      <c r="Q23" s="63">
        <v>0.0365</v>
      </c>
      <c r="R23" s="63">
        <v>0.0365</v>
      </c>
      <c r="T23" s="328"/>
      <c r="U23" s="328"/>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16" t="s">
        <v>50</v>
      </c>
      <c r="J24" s="316"/>
      <c r="K24" s="316"/>
      <c r="L24" s="316"/>
      <c r="M24" s="60" t="s">
        <v>51</v>
      </c>
      <c r="N24" s="63">
        <f>IF($I$11&lt;&gt;$A$58,Q14*Q13,0)</f>
        <v>0.03</v>
      </c>
      <c r="O24" s="62" t="s">
        <v>46</v>
      </c>
      <c r="P24" s="63">
        <v>0</v>
      </c>
      <c r="Q24" s="63">
        <v>0.025</v>
      </c>
      <c r="R24" s="63">
        <v>0.05</v>
      </c>
      <c r="T24" s="328"/>
      <c r="U24" s="328"/>
    </row>
    <row r="25" spans="1:18" ht="26.25" customHeight="1">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0.08310000000000001</v>
      </c>
      <c r="G25" s="55">
        <v>0.0951</v>
      </c>
      <c r="I25" s="316" t="s">
        <v>116</v>
      </c>
      <c r="J25" s="316"/>
      <c r="K25" s="316"/>
      <c r="L25" s="316"/>
      <c r="M25" s="60" t="s">
        <v>52</v>
      </c>
      <c r="N25" s="63">
        <f>IF(AND($I$11&lt;&gt;$A$58,Q11="Sim"),4.5%,0%)</f>
        <v>0.045</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16" t="s">
        <v>53</v>
      </c>
      <c r="J26" s="316"/>
      <c r="K26" s="316"/>
      <c r="L26" s="316"/>
      <c r="M26" s="65" t="s">
        <v>33</v>
      </c>
      <c r="N26" s="63">
        <f>IF($I$11=$A$58,0,ROUND((((1+N18+N19+N20)*(1+N21)*(1+N22)/(1-(N23+N24)))-1),4))</f>
        <v>0.2035</v>
      </c>
      <c r="O26" s="106"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17" t="s">
        <v>55</v>
      </c>
      <c r="J27" s="317"/>
      <c r="K27" s="317"/>
      <c r="L27" s="317"/>
      <c r="M27" s="66" t="s">
        <v>56</v>
      </c>
      <c r="N27" s="67">
        <f>IF($I$11=$A$58,0,ROUND((((1+N18+N19+N20)*(1+N21)*(1+N22)/(1-(N23+N24+N25)))-1),4))</f>
        <v>0.2644</v>
      </c>
      <c r="O27" s="110" t="str">
        <f>IF(Q11&lt;&gt;"Sim","",O26)</f>
        <v>OK</v>
      </c>
      <c r="P27" s="318"/>
      <c r="Q27" s="318"/>
      <c r="R27" s="318"/>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15" t="s">
        <v>117</v>
      </c>
      <c r="K29" s="315"/>
      <c r="L29" s="315"/>
      <c r="M29" s="315"/>
      <c r="N29" s="315"/>
      <c r="O29" s="315"/>
      <c r="P29" s="315"/>
      <c r="Q29" s="315"/>
      <c r="R29" s="315"/>
      <c r="V29" s="111" t="b">
        <v>0</v>
      </c>
      <c r="W29" s="52" t="s">
        <v>119</v>
      </c>
    </row>
    <row r="30" spans="2:22" ht="7.5" customHeight="1">
      <c r="B30" s="54"/>
      <c r="E30" s="55"/>
      <c r="F30" s="55"/>
      <c r="G30" s="55"/>
      <c r="V30" s="111"/>
    </row>
    <row r="31" spans="2:18" ht="18.75" customHeight="1">
      <c r="B31" s="54"/>
      <c r="E31" s="55"/>
      <c r="F31" s="55"/>
      <c r="G31" s="55"/>
      <c r="I31" s="320" t="s">
        <v>61</v>
      </c>
      <c r="J31" s="320"/>
      <c r="K31" s="320"/>
      <c r="L31" s="320"/>
      <c r="M31" s="320"/>
      <c r="N31" s="320"/>
      <c r="O31" s="320"/>
      <c r="P31" s="320"/>
      <c r="Q31" s="320"/>
      <c r="R31" s="320"/>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36" t="str">
        <f>IF(Q11="Sim","BDI.DES =","BDI.PAD =")</f>
        <v>BDI.DES =</v>
      </c>
      <c r="M32" s="334" t="str">
        <f>IF($I$11=$A$59,"(1+K1+K2)*(1+K3)","(1+AC + S + R + G)*(1 + DF)*(1+L)")</f>
        <v>(1+AC + S + R + G)*(1 + DF)*(1+L)</v>
      </c>
      <c r="N32" s="334"/>
      <c r="O32" s="334"/>
      <c r="P32" s="332" t="s">
        <v>108</v>
      </c>
      <c r="Q32" s="100"/>
      <c r="R32" s="100"/>
    </row>
    <row r="33" spans="1:18" ht="27" customHeight="1">
      <c r="A33" s="52" t="str">
        <f>A32</f>
        <v>Obras Portuárias, Marítimas e Fluviais</v>
      </c>
      <c r="B33" s="54" t="s">
        <v>164</v>
      </c>
      <c r="C33" s="52" t="str">
        <f t="shared" si="0"/>
        <v>Obras Portuárias, Marítimas e Fluviais-L</v>
      </c>
      <c r="E33" s="55">
        <v>0.07139999999999999</v>
      </c>
      <c r="F33" s="55">
        <v>0.084</v>
      </c>
      <c r="G33" s="55">
        <v>0.1043</v>
      </c>
      <c r="I33" s="100"/>
      <c r="J33" s="100"/>
      <c r="K33" s="100"/>
      <c r="L33" s="336"/>
      <c r="M33" s="335" t="str">
        <f>IF(Q11="Sim","(1-CP-ISS-CRPB)","(1-CP-ISS)")</f>
        <v>(1-CP-ISS-CRPB)</v>
      </c>
      <c r="N33" s="335"/>
      <c r="O33" s="335"/>
      <c r="P33" s="333"/>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1"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3%.</v>
      </c>
      <c r="J35" s="321"/>
      <c r="K35" s="321"/>
      <c r="L35" s="321"/>
      <c r="M35" s="321"/>
      <c r="N35" s="321"/>
      <c r="O35" s="321"/>
      <c r="P35" s="321"/>
      <c r="Q35" s="321"/>
      <c r="R35" s="321"/>
    </row>
    <row r="36" spans="2:7" ht="11.25" customHeight="1">
      <c r="B36" s="59"/>
      <c r="E36" s="55"/>
      <c r="F36" s="55"/>
      <c r="G36" s="55"/>
    </row>
    <row r="37" spans="2:18" ht="52.5" customHeight="1">
      <c r="B37" s="59"/>
      <c r="E37" s="55"/>
      <c r="F37" s="55"/>
      <c r="G37" s="55"/>
      <c r="I37" s="321"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COM Desoneração, e que esta é a alternativa mais adequada para a Administração Pública.</v>
      </c>
      <c r="J37" s="321"/>
      <c r="K37" s="321"/>
      <c r="L37" s="321"/>
      <c r="M37" s="321"/>
      <c r="N37" s="321"/>
      <c r="O37" s="321"/>
      <c r="P37" s="321"/>
      <c r="Q37" s="321"/>
      <c r="R37" s="321"/>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23"/>
      <c r="J40" s="324"/>
      <c r="K40" s="324"/>
      <c r="L40" s="324"/>
      <c r="M40" s="324"/>
      <c r="N40" s="324"/>
      <c r="O40" s="324"/>
      <c r="P40" s="324"/>
      <c r="Q40" s="324"/>
      <c r="R40" s="325"/>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0.035</v>
      </c>
      <c r="F42" s="55">
        <v>0.051100000000000007</v>
      </c>
      <c r="G42" s="55">
        <v>0.0622</v>
      </c>
      <c r="I42" s="329" t="str">
        <f>PO!K43</f>
        <v>RIQUEZA / SC</v>
      </c>
      <c r="J42" s="329"/>
      <c r="K42" s="329"/>
      <c r="L42" s="329"/>
      <c r="O42" s="322">
        <f ca="1">PO!K46</f>
        <v>43048</v>
      </c>
      <c r="P42" s="322"/>
      <c r="Q42" s="322"/>
      <c r="R42" s="322"/>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48" t="s">
        <v>120</v>
      </c>
      <c r="J43" s="348"/>
      <c r="K43" s="348"/>
      <c r="L43" s="348"/>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19"/>
      <c r="J45" s="319"/>
      <c r="K45" s="319"/>
      <c r="L45" s="319"/>
      <c r="M45" s="69"/>
      <c r="N45" s="69"/>
      <c r="O45" s="319"/>
      <c r="P45" s="319"/>
      <c r="Q45" s="319"/>
      <c r="R45" s="319"/>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26" t="s">
        <v>57</v>
      </c>
      <c r="J46" s="326"/>
      <c r="K46" s="326"/>
      <c r="L46" s="326"/>
      <c r="M46" s="70"/>
      <c r="N46" s="70"/>
      <c r="O46" s="326" t="s">
        <v>58</v>
      </c>
      <c r="P46" s="326"/>
      <c r="Q46" s="326"/>
      <c r="R46" s="326"/>
    </row>
    <row r="47" spans="1:18" ht="13.8">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4">
        <f>DADOS!B54</f>
        <v>0</v>
      </c>
      <c r="K47" s="314"/>
      <c r="L47" s="314"/>
      <c r="M47" s="71"/>
      <c r="N47" s="71"/>
      <c r="O47" s="29" t="s">
        <v>140</v>
      </c>
      <c r="P47" s="327" t="s">
        <v>264</v>
      </c>
      <c r="Q47" s="327"/>
      <c r="R47" s="327"/>
    </row>
    <row r="48" spans="1:18" ht="13.8">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4">
        <f>DADOS!B55</f>
        <v>0</v>
      </c>
      <c r="K48" s="314"/>
      <c r="L48" s="314"/>
      <c r="M48" s="71"/>
      <c r="N48" s="71"/>
      <c r="O48" s="29" t="s">
        <v>60</v>
      </c>
      <c r="P48" s="327" t="s">
        <v>265</v>
      </c>
      <c r="Q48" s="327"/>
      <c r="R48" s="327"/>
    </row>
    <row r="49" spans="1:18" ht="13.8">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14">
        <f>DADOS!B56</f>
        <v>0</v>
      </c>
      <c r="K49" s="314"/>
      <c r="L49" s="314"/>
      <c r="M49" s="71"/>
      <c r="N49" s="71"/>
      <c r="O49" s="71"/>
      <c r="P49" s="71"/>
      <c r="Q49" s="71"/>
      <c r="R49" s="71"/>
    </row>
    <row r="50" spans="9:12" ht="12.75">
      <c r="I50" s="29" t="str">
        <f>DADOS!A57</f>
        <v>CNPJ:</v>
      </c>
      <c r="J50" s="314">
        <f>DADOS!B57</f>
        <v>0</v>
      </c>
      <c r="K50" s="314"/>
      <c r="L50" s="314"/>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3.8" hidden="1">
      <c r="A60" s="72"/>
      <c r="B60" s="71"/>
      <c r="C60" s="71"/>
      <c r="D60" s="71"/>
      <c r="E60" s="71"/>
      <c r="F60" s="71"/>
      <c r="G60" s="71"/>
    </row>
  </sheetData>
  <sheetProtection password="C95B"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conditionalFormatting sqref="O42">
    <cfRule type="expression" priority="6" dxfId="293" stopIfTrue="1">
      <formula>$O$42=""</formula>
    </cfRule>
  </conditionalFormatting>
  <conditionalFormatting sqref="O18:O27">
    <cfRule type="expression" priority="11" dxfId="298" stopIfTrue="1">
      <formula>AND(O18&lt;&gt;"OK",O18&lt;&gt;"-",O18&lt;&gt;"")</formula>
    </cfRule>
    <cfRule type="cellIs" priority="12" dxfId="297" operator="equal" stopIfTrue="1">
      <formula>"OK"</formula>
    </cfRule>
  </conditionalFormatting>
  <conditionalFormatting sqref="I26:N26">
    <cfRule type="expression" priority="10" dxfId="296" stopIfTrue="1">
      <formula>$Q$11="Não"</formula>
    </cfRule>
  </conditionalFormatting>
  <conditionalFormatting sqref="I27:N27">
    <cfRule type="expression" priority="9" dxfId="295" stopIfTrue="1">
      <formula>$Q$11="sim"</formula>
    </cfRule>
  </conditionalFormatting>
  <conditionalFormatting sqref="P27:R27">
    <cfRule type="expression" priority="8" dxfId="294" stopIfTrue="1">
      <formula>$Q$11="sim"</formula>
    </cfRule>
  </conditionalFormatting>
  <conditionalFormatting sqref="P47:R48">
    <cfRule type="expression" priority="7" dxfId="293" stopIfTrue="1">
      <formula>P47=""</formula>
    </cfRule>
  </conditionalFormatting>
  <conditionalFormatting sqref="I29:R29">
    <cfRule type="expression" priority="3" dxfId="292" stopIfTrue="1">
      <formula>AND(NOT($V$27),NOT($V$29))</formula>
    </cfRule>
  </conditionalFormatting>
  <conditionalFormatting sqref="P18:R26">
    <cfRule type="expression" priority="2" dxfId="291"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9"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tabColor rgb="FFFFFF00"/>
    <pageSetUpPr fitToPage="1"/>
  </sheetPr>
  <dimension ref="A1:AA47"/>
  <sheetViews>
    <sheetView showGridLines="0" tabSelected="1" zoomScale="80" zoomScaleNormal="80" zoomScaleSheetLayoutView="100" workbookViewId="0" topLeftCell="A1">
      <pane ySplit="12" topLeftCell="A13" activePane="bottomLeft" state="frozen"/>
      <selection pane="bottomLeft" activeCell="Y13" sqref="Y13:Y31"/>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105.7109375" style="0" customWidth="1"/>
    <col min="15" max="15" width="10.7109375" style="0" customWidth="1"/>
    <col min="16" max="17" width="15.7109375" style="0" customWidth="1"/>
    <col min="18" max="18" width="10.7109375" style="0" hidden="1" customWidth="1"/>
    <col min="19" max="19" width="15.7109375" style="0" hidden="1" customWidth="1"/>
    <col min="20"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9" customHeight="1">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5" t="s">
        <v>181</v>
      </c>
      <c r="X2" s="355"/>
      <c r="Y2" s="4"/>
      <c r="Z2" s="4"/>
      <c r="AA2" s="4"/>
    </row>
    <row r="3" spans="1:27" ht="12.75" customHeight="1">
      <c r="A3" s="4"/>
      <c r="B3" s="4"/>
      <c r="D3" s="117"/>
      <c r="F3" s="5"/>
      <c r="G3" s="4"/>
      <c r="H3" s="4"/>
      <c r="I3" s="4"/>
      <c r="J3" s="4"/>
      <c r="K3" s="4"/>
      <c r="L3" s="4"/>
      <c r="M3" s="4"/>
      <c r="N3" s="131"/>
      <c r="O3" s="4"/>
      <c r="P3" s="4"/>
      <c r="Q3" s="4"/>
      <c r="R3" s="4"/>
      <c r="S3" s="4"/>
      <c r="T3" s="4"/>
      <c r="U3" s="4"/>
      <c r="V3" s="4"/>
      <c r="W3" s="211" t="s">
        <v>148</v>
      </c>
      <c r="X3" s="214" t="b">
        <v>1</v>
      </c>
      <c r="Y3" s="4"/>
      <c r="Z3" s="4"/>
      <c r="AA3" s="4"/>
    </row>
    <row r="4" spans="1:27" ht="24.9" customHeight="1">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9" customHeight="1">
      <c r="A5" s="9">
        <f>MAX($A$12:$A$32)</f>
        <v>2</v>
      </c>
      <c r="B5" s="4"/>
      <c r="D5" s="117"/>
      <c r="F5" s="5"/>
      <c r="G5" s="4"/>
      <c r="H5" s="4"/>
      <c r="I5" s="4"/>
      <c r="J5" s="4"/>
      <c r="K5" s="4"/>
      <c r="L5" s="4"/>
      <c r="M5" s="4"/>
      <c r="N5" s="4"/>
      <c r="O5" s="4"/>
      <c r="P5" s="4"/>
      <c r="Q5" s="4"/>
      <c r="R5" s="4"/>
      <c r="S5" s="4"/>
      <c r="T5" s="4"/>
      <c r="U5" s="119" t="str">
        <f ca="1">IF(COUNTIF($U$12:OFFSET($U$32,-1,0),"DESCRIÇÃO")+COUNTIF($U$12:OFFSET($U$32,-1,0),"UNIDADE")+COUNTIF($U$12:OFFSET($U$32,-1,0),"SEM VALOR")&gt;0,"NÃO OK","OK")</f>
        <v>NÃO OK</v>
      </c>
      <c r="V5" s="212" t="s">
        <v>106</v>
      </c>
      <c r="W5" s="211" t="s">
        <v>183</v>
      </c>
      <c r="X5" s="214" t="b">
        <v>1</v>
      </c>
      <c r="Y5" s="4"/>
      <c r="Z5" s="4"/>
      <c r="AA5" s="4"/>
    </row>
    <row r="6" spans="1:27" ht="24.9" customHeight="1">
      <c r="A6" s="4"/>
      <c r="B6" s="4"/>
      <c r="D6" s="117"/>
      <c r="F6" s="5"/>
      <c r="G6" s="4"/>
      <c r="H6" s="4"/>
      <c r="I6" s="4"/>
      <c r="J6" s="4"/>
      <c r="K6" s="82"/>
      <c r="L6" s="4"/>
      <c r="M6" s="4"/>
      <c r="N6" s="4"/>
      <c r="O6" s="4"/>
      <c r="P6" s="4"/>
      <c r="Q6" s="4"/>
      <c r="R6" s="4"/>
      <c r="S6" s="4"/>
      <c r="T6" s="4"/>
      <c r="U6" s="4"/>
      <c r="V6" s="4"/>
      <c r="W6" s="211" t="s">
        <v>184</v>
      </c>
      <c r="X6" s="214" t="b">
        <v>1</v>
      </c>
      <c r="Y6" s="4"/>
      <c r="Z6" s="4"/>
      <c r="AA6" s="4"/>
    </row>
    <row r="7" spans="1:27" ht="24.9" customHeight="1">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IF(OR($A11="S",$A11=0),0,MATCH(0,OFFSET($B11,1,$A11,ROW($A$32)-ROW($A11)),0))</f>
        <v>0</v>
      </c>
      <c r="I11">
        <f ca="1">IF(OR($A11="S",$A11=0),0,MATCH(OFFSET($B11,0,$A11)+1,OFFSET($B11,1,$A11,ROW($A$32)-ROW($A11)),0))</f>
        <v>0</v>
      </c>
      <c r="J11" s="120" t="s">
        <v>103</v>
      </c>
      <c r="K11" s="162" t="e">
        <f ca="1">IF($A11=0,"-",CONCATENATE(C11&amp;".",IF(AND($A$5&gt;=2,$A11&gt;=2),D11&amp;".",""),IF(AND($A$5&gt;=3,$A11&gt;=3),E11&amp;".",""),IF(AND($A$5&gt;=4,$A11&gt;=4),F11&amp;".",""),IF($A11="S",G11&amp;".","")))</f>
        <v>#VALUE!</v>
      </c>
      <c r="L11" s="209"/>
      <c r="M11" s="209"/>
      <c r="N11" s="230" t="str">
        <f ca="1">IF($A11="S",Referencia.Descricao,"(digite a descrição aqui)")</f>
        <v/>
      </c>
      <c r="O11" s="229" t="str">
        <f ca="1">Referencia.Unidade</f>
        <v/>
      </c>
      <c r="P11" s="232"/>
      <c r="Q11" s="228"/>
      <c r="R11" s="231" t="s">
        <v>7</v>
      </c>
      <c r="S11" s="121">
        <f>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0.2644</v>
      </c>
      <c r="AA11" s="4"/>
    </row>
    <row r="12" spans="1:27" ht="12.75">
      <c r="A12">
        <v>0</v>
      </c>
      <c r="B12">
        <f ca="1">COUNTA(OFFSET(B12,1,0):B$32)</f>
        <v>19</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SUMIF(OFFSET($J12,1,0,ROW(T32)-ROW(T12)-1),"Serviço",OFFSET(T12,1,0,ROW(T32)-ROW(T12)-1))</f>
        <v>0</v>
      </c>
      <c r="U12" s="13" t="str">
        <f>IF($N12=0,"DESCRIÇÃO","")</f>
        <v>DESCRIÇÃO</v>
      </c>
      <c r="V12" s="4">
        <v>0</v>
      </c>
      <c r="W12" s="4"/>
      <c r="X12" s="4"/>
      <c r="Y12" s="11"/>
      <c r="Z12" s="133"/>
      <c r="AA12" s="4"/>
    </row>
    <row r="13" spans="1:27" ht="12.75">
      <c r="A13">
        <f aca="true" t="shared" si="0" ref="A13:A30">CHOOSE(1+LOG(1+2*(J13="Meta")+4*(J13="Nível 2")+8*(J13="Nível 3")+16*(J13="Nível 4")+32*(J13="Serviço"),2),0,1,2,3,4,"S")</f>
        <v>1</v>
      </c>
      <c r="B13">
        <f aca="true" t="shared" si="1" ref="B13:B30">IF(OR(A13="S",A13=0),0,IF(ISERROR(I13),H13,SMALL(H13:I13,1)))</f>
        <v>19</v>
      </c>
      <c r="C13">
        <f aca="true" ca="1" t="shared" si="2" ref="C13:C30">IF($A13=1,OFFSET(C13,-1,0)+1,OFFSET(C13,-1,0))</f>
        <v>1</v>
      </c>
      <c r="D13">
        <f aca="true" ca="1" t="shared" si="3" ref="D13:D30">IF($A13=1,0,IF($A13=2,OFFSET(D13,-1,0)+1,OFFSET(D13,-1,0)))</f>
        <v>0</v>
      </c>
      <c r="E13">
        <f aca="true" ca="1" t="shared" si="4" ref="E13:E30">IF(AND($A13&lt;=2,$A13&lt;&gt;0),0,IF($A13=3,OFFSET(E13,-1,0)+1,OFFSET(E13,-1,0)))</f>
        <v>0</v>
      </c>
      <c r="F13">
        <f aca="true" ca="1" t="shared" si="5" ref="F13:F30">IF(AND($A13&lt;=3,$A13&lt;&gt;0),0,IF($A13=4,OFFSET(F13,-1,0)+1,OFFSET(F13,-1,0)))</f>
        <v>0</v>
      </c>
      <c r="G13">
        <f aca="true" ca="1" t="shared" si="6" ref="G13:G30">IF(AND($A13&lt;=4,$A13&lt;&gt;0),0,IF($A13="S",OFFSET(G13,-1,0)+1,OFFSET(G13,-1,0)))</f>
        <v>0</v>
      </c>
      <c r="H13">
        <f aca="true" ca="1" t="shared" si="7" ref="H13:H31">IF(OR($A13="S",$A13=0),0,MATCH(0,OFFSET($B13,1,$A13,ROW($A$32)-ROW($A13)),0))</f>
        <v>19</v>
      </c>
      <c r="I13" t="e">
        <f aca="true" ca="1" t="shared" si="8" ref="I13:I31">IF(OR($A13="S",$A13=0),0,MATCH(OFFSET($B13,0,$A13)+1,OFFSET($B13,1,$A13,ROW($A$32)-ROW($A13)),0))</f>
        <v>#N/A</v>
      </c>
      <c r="J13" s="164" t="s">
        <v>99</v>
      </c>
      <c r="K13" s="162" t="str">
        <f aca="true" t="shared" si="9" ref="K13:K30">IF($A13=0,"-",CONCATENATE(C13&amp;".",IF(AND($A$5&gt;=2,$A13&gt;=2),D13&amp;".",""),IF(AND($A$5&gt;=3,$A13&gt;=3),E13&amp;".",""),IF(AND($A$5&gt;=4,$A13&gt;=4),F13&amp;".",""),IF($A13="S",G13&amp;".","")))</f>
        <v>1.</v>
      </c>
      <c r="L13" s="394"/>
      <c r="M13" s="394"/>
      <c r="N13" s="395" t="s">
        <v>269</v>
      </c>
      <c r="O13" s="396" t="s">
        <v>106</v>
      </c>
      <c r="P13" s="397">
        <v>0</v>
      </c>
      <c r="Q13" s="228"/>
      <c r="R13" s="231" t="s">
        <v>7</v>
      </c>
      <c r="S13" s="121">
        <f aca="true" t="shared" si="10" ref="S13:S30">IF($A13="S",IF($Q$10="Preço Unitário (R$)",PO.CustoUnitario,ROUND(PO.CustoUnitario*(1+$Z13),15-13*$X$6)),0)</f>
        <v>0</v>
      </c>
      <c r="T13" s="98">
        <f aca="true" ca="1" t="shared" si="11" ref="T13:T30">IF($A13="S",VTOTAL1,IF($A13=0,0,ROUND(SomaAgrup,15-13*$X$7)))</f>
        <v>0</v>
      </c>
      <c r="U13" s="13" t="str">
        <f aca="true" t="shared" si="12" ref="U13:U30">IF($J13="","",IF($N13="","DESCRIÇÃO",IF(AND($J13="Serviço",$O13=""),"UNIDADE",IF($T13&lt;=0,"SEM VALOR",IF(AND($Y13&lt;&gt;"",$Q13&gt;$Y13),"ACIMA REF.","")))))</f>
        <v>SEM VALOR</v>
      </c>
      <c r="V13" s="4">
        <f ca="1">IF(OR($A13=0,$A13="S",$A13&gt;CFF!$A$9),"",MAX(V$12:OFFSET(V13,-1,0))+1)</f>
        <v>1</v>
      </c>
      <c r="W13" s="9" t="b">
        <f aca="true" t="shared" si="13" ref="W13:W30">IF(AND($J13="Serviço",$M13&lt;&gt;""),IF($L13="",$M13,CONCATENATE($L13,"-",$M13)))</f>
        <v>0</v>
      </c>
      <c r="X13" s="4" t="str">
        <f aca="true" t="shared" si="14" ref="X13:X30">IF(AND(Fonte&lt;&gt;"",Código&lt;&gt;""),MATCH(Fonte&amp;" "&amp;IF(Fonte="sinapi",SUBSTITUTE(SUBSTITUTE(Código,"/00","/"),"/0","/"),Código),INDIRECT("'[Referência "&amp;_XLNM.DATABASE&amp;".xls]Banco'!$a:$a"),0),"X")</f>
        <v>X</v>
      </c>
      <c r="Y13" s="121">
        <v>0</v>
      </c>
      <c r="Z13" s="132">
        <f ca="1">ROUND(IF(ISNUMBER(R13),R13,IF(LEFT(R13,3)="BDI",HLOOKUP(R13,DADOS!$T$37:$X$38,2,FALSE),0)),15-11*$X$5)</f>
        <v>0.2644</v>
      </c>
      <c r="AA13" s="4"/>
    </row>
    <row r="14" spans="1:27" ht="12.75">
      <c r="A14">
        <f>CHOOSE(1+LOG(1+2*(J14="Meta")+4*(J14="Nível 2")+8*(J14="Nível 3")+16*(J14="Nível 4")+32*(J14="Serviço"),2),0,1,2,3,4,"S")</f>
        <v>2</v>
      </c>
      <c r="B14">
        <f ca="1">IF(OR(A14="S",A14=0),0,IF(ISERROR(I14),H14,SMALL(H14:I14,1)))</f>
        <v>2</v>
      </c>
      <c r="C14">
        <f ca="1">IF($A14=1,OFFSET(C14,-1,0)+1,OFFSET(C14,-1,0))</f>
        <v>1</v>
      </c>
      <c r="D14">
        <f ca="1">IF($A14=1,0,IF($A14=2,OFFSET(D14,-1,0)+1,OFFSET(D14,-1,0)))</f>
        <v>1</v>
      </c>
      <c r="E14">
        <f ca="1">IF(AND($A14&lt;=2,$A14&lt;&gt;0),0,IF($A14=3,OFFSET(E14,-1,0)+1,OFFSET(E14,-1,0)))</f>
        <v>0</v>
      </c>
      <c r="F14">
        <f ca="1">IF(AND($A14&lt;=3,$A14&lt;&gt;0),0,IF($A14=4,OFFSET(F14,-1,0)+1,OFFSET(F14,-1,0)))</f>
        <v>0</v>
      </c>
      <c r="G14">
        <f ca="1">IF(AND($A14&lt;=4,$A14&lt;&gt;0),0,IF($A14="S",OFFSET(G14,-1,0)+1,OFFSET(G14,-1,0)))</f>
        <v>0</v>
      </c>
      <c r="H14">
        <f ca="1" t="shared" si="7"/>
        <v>18</v>
      </c>
      <c r="I14">
        <f ca="1" t="shared" si="8"/>
        <v>2</v>
      </c>
      <c r="J14" s="393" t="s">
        <v>100</v>
      </c>
      <c r="K14" s="162" t="str">
        <f ca="1">IF($A14=0,"-",CONCATENATE(C14&amp;".",IF(AND($A$5&gt;=2,$A14&gt;=2),D14&amp;".",""),IF(AND($A$5&gt;=3,$A14&gt;=3),E14&amp;".",""),IF(AND($A$5&gt;=4,$A14&gt;=4),F14&amp;".",""),IF($A14="S",G14&amp;".","")))</f>
        <v>1.1.</v>
      </c>
      <c r="L14" s="394"/>
      <c r="M14" s="394"/>
      <c r="N14" s="395" t="s">
        <v>270</v>
      </c>
      <c r="O14" s="396" t="s">
        <v>106</v>
      </c>
      <c r="P14" s="397"/>
      <c r="Q14" s="228"/>
      <c r="R14" s="231" t="s">
        <v>7</v>
      </c>
      <c r="S14" s="121">
        <f>IF($A14="S",IF($Q$10="Preço Unitário (R$)",PO.CustoUnitario,ROUND(PO.CustoUnitario*(1+$Z14),15-13*$X$6)),0)</f>
        <v>0</v>
      </c>
      <c r="T14" s="98">
        <f ca="1">IF($A14="S",VTOTAL1,IF($A14=0,0,ROUND(SomaAgrup,15-13*$X$7)))</f>
        <v>0</v>
      </c>
      <c r="U14" s="13" t="str">
        <f ca="1">IF($J14="","",IF($N14="","DESCRIÇÃO",IF(AND($J14="Serviço",$O14=""),"UNIDADE",IF($T14&lt;=0,"SEM VALOR",IF(AND($Y14&lt;&gt;"",$Q14&gt;$Y14),"ACIMA REF.","")))))</f>
        <v>SEM VALOR</v>
      </c>
      <c r="V14" s="4">
        <f ca="1">IF(OR($A14=0,$A14="S",$A14&gt;CFF!$A$9),"",MAX(V$12:OFFSET(V14,-1,0))+1)</f>
        <v>2</v>
      </c>
      <c r="W14" s="9" t="b">
        <f>IF(AND($J14="Serviço",$M14&lt;&gt;""),IF($L14="",$M14,CONCATENATE($L14,"-",$M14)))</f>
        <v>0</v>
      </c>
      <c r="X14" s="4" t="str">
        <f ca="1">IF(AND(Fonte&lt;&gt;"",Código&lt;&gt;""),MATCH(Fonte&amp;" "&amp;IF(Fonte="sinapi",SUBSTITUTE(SUBSTITUTE(Código,"/00","/"),"/0","/"),Código),INDIRECT("'[Referência "&amp;_XLNM.DATABASE&amp;".xls]Banco'!$a:$a"),0),"X")</f>
        <v>X</v>
      </c>
      <c r="Y14" s="121">
        <v>0</v>
      </c>
      <c r="Z14" s="132">
        <f ca="1">ROUND(IF(ISNUMBER(R14),R14,IF(LEFT(R14,3)="BDI",HLOOKUP(R14,DADOS!$T$37:$X$38,2,FALSE),0)),15-11*$X$5)</f>
        <v>0.2644</v>
      </c>
      <c r="AA14" s="4"/>
    </row>
    <row r="15" spans="1:27" ht="12.75">
      <c r="A15" t="str">
        <f>CHOOSE(1+LOG(1+2*(J15="Meta")+4*(J15="Nível 2")+8*(J15="Nível 3")+16*(J15="Nível 4")+32*(J15="Serviço"),2),0,1,2,3,4,"S")</f>
        <v>S</v>
      </c>
      <c r="B15">
        <f>IF(OR(A15="S",A15=0),0,IF(ISERROR(I15),H15,SMALL(H15:I15,1)))</f>
        <v>0</v>
      </c>
      <c r="C15">
        <f ca="1">IF($A15=1,OFFSET(C15,-1,0)+1,OFFSET(C15,-1,0))</f>
        <v>1</v>
      </c>
      <c r="D15">
        <f ca="1">IF($A15=1,0,IF($A15=2,OFFSET(D15,-1,0)+1,OFFSET(D15,-1,0)))</f>
        <v>1</v>
      </c>
      <c r="E15">
        <f ca="1">IF(AND($A15&lt;=2,$A15&lt;&gt;0),0,IF($A15=3,OFFSET(E15,-1,0)+1,OFFSET(E15,-1,0)))</f>
        <v>0</v>
      </c>
      <c r="F15">
        <f ca="1">IF(AND($A15&lt;=3,$A15&lt;&gt;0),0,IF($A15=4,OFFSET(F15,-1,0)+1,OFFSET(F15,-1,0)))</f>
        <v>0</v>
      </c>
      <c r="G15">
        <f ca="1">IF(AND($A15&lt;=4,$A15&lt;&gt;0),0,IF($A15="S",OFFSET(G15,-1,0)+1,OFFSET(G15,-1,0)))</f>
        <v>1</v>
      </c>
      <c r="H15">
        <f ca="1" t="shared" si="7"/>
        <v>0</v>
      </c>
      <c r="I15">
        <f ca="1" t="shared" si="8"/>
        <v>0</v>
      </c>
      <c r="J15" s="393" t="s">
        <v>103</v>
      </c>
      <c r="K15" s="162" t="str">
        <f ca="1">IF($A15=0,"-",CONCATENATE(C15&amp;".",IF(AND($A$5&gt;=2,$A15&gt;=2),D15&amp;".",""),IF(AND($A$5&gt;=3,$A15&gt;=3),E15&amp;".",""),IF(AND($A$5&gt;=4,$A15&gt;=4),F15&amp;".",""),IF($A15="S",G15&amp;".","")))</f>
        <v>1.1.1.</v>
      </c>
      <c r="L15" s="394" t="s">
        <v>275</v>
      </c>
      <c r="M15" s="394" t="s">
        <v>276</v>
      </c>
      <c r="N15" s="395" t="s">
        <v>279</v>
      </c>
      <c r="O15" s="396" t="s">
        <v>158</v>
      </c>
      <c r="P15" s="397">
        <v>1</v>
      </c>
      <c r="Q15" s="228"/>
      <c r="R15" s="231" t="s">
        <v>7</v>
      </c>
      <c r="S15" s="121">
        <f>IF($A15="S",IF($Q$10="Preço Unitário (R$)",PO.CustoUnitario,ROUND(PO.CustoUnitario*(1+$Z15),15-13*$X$6)),0)</f>
        <v>0</v>
      </c>
      <c r="T15" s="98">
        <f ca="1">IF($A15="S",VTOTAL1,IF($A15=0,0,ROUND(SomaAgrup,15-13*$X$7)))</f>
        <v>0</v>
      </c>
      <c r="U15" s="13" t="str">
        <f>IF($J15="","",IF($N15="","DESCRIÇÃO",IF(AND($J15="Serviço",$O15=""),"UNIDADE",IF($T15&lt;=0,"SEM VALOR",IF(AND($Y15&lt;&gt;"",$Q15&gt;$Y15),"ACIMA REF.","")))))</f>
        <v>SEM VALOR</v>
      </c>
      <c r="V15" s="4" t="str">
        <f ca="1">IF(OR($A15=0,$A15="S",$A15&gt;CFF!$A$9),"",MAX(V$12:OFFSET(V15,-1,0))+1)</f>
        <v/>
      </c>
      <c r="W15" s="9" t="str">
        <f>IF(AND($J15="Serviço",$M15&lt;&gt;""),IF($L15="",$M15,CONCATENATE($L15,"-",$M15)))</f>
        <v>COTAÇÃO-002</v>
      </c>
      <c r="X15" s="4" t="e">
        <f ca="1">IF(AND(Fonte&lt;&gt;"",Código&lt;&gt;""),MATCH(Fonte&amp;" "&amp;IF(Fonte="sinapi",SUBSTITUTE(SUBSTITUTE(Código,"/00","/"),"/0","/"),Código),INDIRECT("'[Referência "&amp;_XLNM.DATABASE&amp;".xls]Banco'!$a:$a"),0),"X")</f>
        <v>#REF!</v>
      </c>
      <c r="Y15" s="121">
        <v>195.98</v>
      </c>
      <c r="Z15" s="132">
        <f ca="1">ROUND(IF(ISNUMBER(R15),R15,IF(LEFT(R15,3)="BDI",HLOOKUP(R15,DADOS!$T$37:$X$38,2,FALSE),0)),15-11*$X$5)</f>
        <v>0.2644</v>
      </c>
      <c r="AA15" s="4"/>
    </row>
    <row r="16" spans="1:27" ht="12.75">
      <c r="A16">
        <f t="shared" si="0"/>
        <v>2</v>
      </c>
      <c r="B16">
        <f ca="1" t="shared" si="1"/>
        <v>7</v>
      </c>
      <c r="C16">
        <f ca="1" t="shared" si="2"/>
        <v>1</v>
      </c>
      <c r="D16">
        <f ca="1" t="shared" si="3"/>
        <v>2</v>
      </c>
      <c r="E16">
        <f ca="1" t="shared" si="4"/>
        <v>0</v>
      </c>
      <c r="F16">
        <f ca="1" t="shared" si="5"/>
        <v>0</v>
      </c>
      <c r="G16">
        <f ca="1" t="shared" si="6"/>
        <v>0</v>
      </c>
      <c r="H16">
        <f ca="1" t="shared" si="7"/>
        <v>16</v>
      </c>
      <c r="I16">
        <f ca="1" t="shared" si="8"/>
        <v>7</v>
      </c>
      <c r="J16" s="393" t="s">
        <v>100</v>
      </c>
      <c r="K16" s="162" t="str">
        <f ca="1" t="shared" si="9"/>
        <v>1.2.</v>
      </c>
      <c r="L16" s="394"/>
      <c r="M16" s="394"/>
      <c r="N16" s="395" t="s">
        <v>237</v>
      </c>
      <c r="O16" s="396" t="s">
        <v>106</v>
      </c>
      <c r="P16" s="397">
        <v>0</v>
      </c>
      <c r="Q16" s="228"/>
      <c r="R16" s="231" t="s">
        <v>7</v>
      </c>
      <c r="S16" s="121">
        <f t="shared" si="10"/>
        <v>0</v>
      </c>
      <c r="T16" s="98">
        <f ca="1" t="shared" si="11"/>
        <v>0</v>
      </c>
      <c r="U16" s="13" t="str">
        <f ca="1" t="shared" si="12"/>
        <v>SEM VALOR</v>
      </c>
      <c r="V16" s="4">
        <f ca="1">IF(OR($A16=0,$A16="S",$A16&gt;CFF!$A$9),"",MAX(V$12:OFFSET(V16,-1,0))+1)</f>
        <v>3</v>
      </c>
      <c r="W16" s="9" t="b">
        <f t="shared" si="13"/>
        <v>0</v>
      </c>
      <c r="X16" s="4" t="str">
        <f ca="1" t="shared" si="14"/>
        <v>X</v>
      </c>
      <c r="Y16" s="121">
        <v>0</v>
      </c>
      <c r="Z16" s="132">
        <f ca="1">ROUND(IF(ISNUMBER(R16),R16,IF(LEFT(R16,3)="BDI",HLOOKUP(R16,DADOS!$T$37:$X$38,2,FALSE),0)),15-11*$X$5)</f>
        <v>0.2644</v>
      </c>
      <c r="AA16" s="4"/>
    </row>
    <row r="17" spans="1:27" ht="39.6">
      <c r="A17" t="str">
        <f>CHOOSE(1+LOG(1+2*(J17="Meta")+4*(J17="Nível 2")+8*(J17="Nível 3")+16*(J17="Nível 4")+32*(J17="Serviço"),2),0,1,2,3,4,"S")</f>
        <v>S</v>
      </c>
      <c r="B17">
        <f>IF(OR(A17="S",A17=0),0,IF(ISERROR(I17),H17,SMALL(H17:I17,1)))</f>
        <v>0</v>
      </c>
      <c r="C17">
        <f ca="1">IF($A17=1,OFFSET(C17,-1,0)+1,OFFSET(C17,-1,0))</f>
        <v>1</v>
      </c>
      <c r="D17">
        <f ca="1">IF($A17=1,0,IF($A17=2,OFFSET(D17,-1,0)+1,OFFSET(D17,-1,0)))</f>
        <v>2</v>
      </c>
      <c r="E17">
        <f ca="1">IF(AND($A17&lt;=2,$A17&lt;&gt;0),0,IF($A17=3,OFFSET(E17,-1,0)+1,OFFSET(E17,-1,0)))</f>
        <v>0</v>
      </c>
      <c r="F17">
        <f ca="1">IF(AND($A17&lt;=3,$A17&lt;&gt;0),0,IF($A17=4,OFFSET(F17,-1,0)+1,OFFSET(F17,-1,0)))</f>
        <v>0</v>
      </c>
      <c r="G17">
        <f ca="1">IF(AND($A17&lt;=4,$A17&lt;&gt;0),0,IF($A17="S",OFFSET(G17,-1,0)+1,OFFSET(G17,-1,0)))</f>
        <v>1</v>
      </c>
      <c r="H17">
        <f ca="1" t="shared" si="7"/>
        <v>0</v>
      </c>
      <c r="I17">
        <f ca="1" t="shared" si="8"/>
        <v>0</v>
      </c>
      <c r="J17" s="393" t="s">
        <v>103</v>
      </c>
      <c r="K17" s="162" t="str">
        <f ca="1">IF($A17=0,"-",CONCATENATE(C17&amp;".",IF(AND($A$5&gt;=2,$A17&gt;=2),D17&amp;".",""),IF(AND($A$5&gt;=3,$A17&gt;=3),E17&amp;".",""),IF(AND($A$5&gt;=4,$A17&gt;=4),F17&amp;".",""),IF($A17="S",G17&amp;".","")))</f>
        <v>1.2.1.</v>
      </c>
      <c r="L17" s="394" t="s">
        <v>238</v>
      </c>
      <c r="M17" s="394" t="s">
        <v>271</v>
      </c>
      <c r="N17" s="395" t="s">
        <v>273</v>
      </c>
      <c r="O17" s="396" t="s">
        <v>252</v>
      </c>
      <c r="P17" s="397">
        <v>177.28</v>
      </c>
      <c r="Q17" s="228"/>
      <c r="R17" s="231" t="s">
        <v>7</v>
      </c>
      <c r="S17" s="121">
        <f>IF($A17="S",IF($Q$10="Preço Unitário (R$)",PO.CustoUnitario,ROUND(PO.CustoUnitario*(1+$Z17),15-13*$X$6)),0)</f>
        <v>0</v>
      </c>
      <c r="T17" s="98">
        <f ca="1">IF($A17="S",VTOTAL1,IF($A17=0,0,ROUND(SomaAgrup,15-13*$X$7)))</f>
        <v>0</v>
      </c>
      <c r="U17" s="13" t="str">
        <f>IF($J17="","",IF($N17="","DESCRIÇÃO",IF(AND($J17="Serviço",$O17=""),"UNIDADE",IF($T17&lt;=0,"SEM VALOR",IF(AND($Y17&lt;&gt;"",$Q17&gt;$Y17),"ACIMA REF.","")))))</f>
        <v>SEM VALOR</v>
      </c>
      <c r="V17" s="4" t="str">
        <f ca="1">IF(OR($A17=0,$A17="S",$A17&gt;CFF!$A$9),"",MAX(V$12:OFFSET(V17,-1,0))+1)</f>
        <v/>
      </c>
      <c r="W17" s="9" t="str">
        <f>IF(AND($J17="Serviço",$M17&lt;&gt;""),IF($L17="",$M17,CONCATENATE($L17,"-",$M17)))</f>
        <v>SINAPI-87523</v>
      </c>
      <c r="X17" s="4" t="e">
        <f ca="1">IF(AND(Fonte&lt;&gt;"",Código&lt;&gt;""),MATCH(Fonte&amp;" "&amp;IF(Fonte="sinapi",SUBSTITUTE(SUBSTITUTE(Código,"/00","/"),"/0","/"),Código),INDIRECT("'[Referência "&amp;_XLNM.DATABASE&amp;".xls]Banco'!$a:$a"),0),"X")</f>
        <v>#REF!</v>
      </c>
      <c r="Y17" s="121">
        <v>80.42</v>
      </c>
      <c r="Z17" s="132">
        <f ca="1">ROUND(IF(ISNUMBER(R17),R17,IF(LEFT(R17,3)="BDI",HLOOKUP(R17,DADOS!$T$37:$X$38,2,FALSE),0)),15-11*$X$5)</f>
        <v>0.2644</v>
      </c>
      <c r="AA17" s="4"/>
    </row>
    <row r="18" spans="1:27" ht="26.4">
      <c r="A18" t="str">
        <f t="shared" si="0"/>
        <v>S</v>
      </c>
      <c r="B18">
        <f t="shared" si="1"/>
        <v>0</v>
      </c>
      <c r="C18">
        <f ca="1" t="shared" si="2"/>
        <v>1</v>
      </c>
      <c r="D18">
        <f ca="1" t="shared" si="3"/>
        <v>2</v>
      </c>
      <c r="E18">
        <f ca="1" t="shared" si="4"/>
        <v>0</v>
      </c>
      <c r="F18">
        <f ca="1" t="shared" si="5"/>
        <v>0</v>
      </c>
      <c r="G18">
        <f ca="1" t="shared" si="6"/>
        <v>2</v>
      </c>
      <c r="H18">
        <f ca="1" t="shared" si="7"/>
        <v>0</v>
      </c>
      <c r="I18">
        <f ca="1" t="shared" si="8"/>
        <v>0</v>
      </c>
      <c r="J18" s="393" t="s">
        <v>103</v>
      </c>
      <c r="K18" s="162" t="str">
        <f ca="1" t="shared" si="9"/>
        <v>1.2.2.</v>
      </c>
      <c r="L18" s="394" t="s">
        <v>238</v>
      </c>
      <c r="M18" s="394" t="s">
        <v>239</v>
      </c>
      <c r="N18" s="395" t="s">
        <v>253</v>
      </c>
      <c r="O18" s="396" t="s">
        <v>252</v>
      </c>
      <c r="P18" s="397">
        <v>90.16</v>
      </c>
      <c r="Q18" s="228"/>
      <c r="R18" s="231" t="s">
        <v>7</v>
      </c>
      <c r="S18" s="121">
        <f t="shared" si="10"/>
        <v>0</v>
      </c>
      <c r="T18" s="98">
        <f ca="1" t="shared" si="11"/>
        <v>0</v>
      </c>
      <c r="U18" s="13" t="str">
        <f t="shared" si="12"/>
        <v>SEM VALOR</v>
      </c>
      <c r="V18" s="4" t="str">
        <f ca="1">IF(OR($A18=0,$A18="S",$A18&gt;CFF!$A$9),"",MAX(V$12:OFFSET(V18,-1,0))+1)</f>
        <v/>
      </c>
      <c r="W18" s="9" t="str">
        <f t="shared" si="13"/>
        <v>SINAPI-95465</v>
      </c>
      <c r="X18" s="4" t="e">
        <f ca="1" t="shared" si="14"/>
        <v>#REF!</v>
      </c>
      <c r="Y18" s="121">
        <v>140.61</v>
      </c>
      <c r="Z18" s="132">
        <f ca="1">ROUND(IF(ISNUMBER(R18),R18,IF(LEFT(R18,3)="BDI",HLOOKUP(R18,DADOS!$T$37:$X$38,2,FALSE),0)),15-11*$X$5)</f>
        <v>0.2644</v>
      </c>
      <c r="AA18" s="4"/>
    </row>
    <row r="19" spans="1:27" ht="26.4">
      <c r="A19" t="str">
        <f t="shared" si="0"/>
        <v>S</v>
      </c>
      <c r="B19">
        <f t="shared" si="1"/>
        <v>0</v>
      </c>
      <c r="C19">
        <f ca="1" t="shared" si="2"/>
        <v>1</v>
      </c>
      <c r="D19">
        <f ca="1" t="shared" si="3"/>
        <v>2</v>
      </c>
      <c r="E19">
        <f ca="1" t="shared" si="4"/>
        <v>0</v>
      </c>
      <c r="F19">
        <f ca="1" t="shared" si="5"/>
        <v>0</v>
      </c>
      <c r="G19">
        <f ca="1" t="shared" si="6"/>
        <v>3</v>
      </c>
      <c r="H19">
        <f ca="1" t="shared" si="7"/>
        <v>0</v>
      </c>
      <c r="I19">
        <f ca="1" t="shared" si="8"/>
        <v>0</v>
      </c>
      <c r="J19" s="393" t="s">
        <v>103</v>
      </c>
      <c r="K19" s="162" t="str">
        <f ca="1" t="shared" si="9"/>
        <v>1.2.3.</v>
      </c>
      <c r="L19" s="394" t="s">
        <v>238</v>
      </c>
      <c r="M19" s="394" t="s">
        <v>240</v>
      </c>
      <c r="N19" s="395" t="s">
        <v>254</v>
      </c>
      <c r="O19" s="396" t="s">
        <v>252</v>
      </c>
      <c r="P19" s="397">
        <v>354.46</v>
      </c>
      <c r="Q19" s="228"/>
      <c r="R19" s="231" t="s">
        <v>7</v>
      </c>
      <c r="S19" s="121">
        <f t="shared" si="10"/>
        <v>0</v>
      </c>
      <c r="T19" s="98">
        <f ca="1" t="shared" si="11"/>
        <v>0</v>
      </c>
      <c r="U19" s="13" t="str">
        <f t="shared" si="12"/>
        <v>SEM VALOR</v>
      </c>
      <c r="V19" s="4" t="str">
        <f ca="1">IF(OR($A19=0,$A19="S",$A19&gt;CFF!$A$9),"",MAX(V$12:OFFSET(V19,-1,0))+1)</f>
        <v/>
      </c>
      <c r="W19" s="9" t="str">
        <f t="shared" si="13"/>
        <v>SINAPI-87879</v>
      </c>
      <c r="X19" s="4" t="e">
        <f ca="1" t="shared" si="14"/>
        <v>#REF!</v>
      </c>
      <c r="Y19" s="121">
        <v>3.69</v>
      </c>
      <c r="Z19" s="132">
        <f ca="1">ROUND(IF(ISNUMBER(R19),R19,IF(LEFT(R19,3)="BDI",HLOOKUP(R19,DADOS!$T$37:$X$38,2,FALSE),0)),15-11*$X$5)</f>
        <v>0.2644</v>
      </c>
      <c r="AA19" s="4"/>
    </row>
    <row r="20" spans="1:27" ht="39.6">
      <c r="A20" t="str">
        <f>CHOOSE(1+LOG(1+2*(J20="Meta")+4*(J20="Nível 2")+8*(J20="Nível 3")+16*(J20="Nível 4")+32*(J20="Serviço"),2),0,1,2,3,4,"S")</f>
        <v>S</v>
      </c>
      <c r="B20">
        <f>IF(OR(A20="S",A20=0),0,IF(ISERROR(I20),H20,SMALL(H20:I20,1)))</f>
        <v>0</v>
      </c>
      <c r="C20">
        <f ca="1">IF($A20=1,OFFSET(C20,-1,0)+1,OFFSET(C20,-1,0))</f>
        <v>1</v>
      </c>
      <c r="D20">
        <f ca="1">IF($A20=1,0,IF($A20=2,OFFSET(D20,-1,0)+1,OFFSET(D20,-1,0)))</f>
        <v>2</v>
      </c>
      <c r="E20">
        <f ca="1">IF(AND($A20&lt;=2,$A20&lt;&gt;0),0,IF($A20=3,OFFSET(E20,-1,0)+1,OFFSET(E20,-1,0)))</f>
        <v>0</v>
      </c>
      <c r="F20">
        <f ca="1">IF(AND($A20&lt;=3,$A20&lt;&gt;0),0,IF($A20=4,OFFSET(F20,-1,0)+1,OFFSET(F20,-1,0)))</f>
        <v>0</v>
      </c>
      <c r="G20">
        <f ca="1">IF(AND($A20&lt;=4,$A20&lt;&gt;0),0,IF($A20="S",OFFSET(G20,-1,0)+1,OFFSET(G20,-1,0)))</f>
        <v>4</v>
      </c>
      <c r="H20">
        <f ca="1" t="shared" si="7"/>
        <v>0</v>
      </c>
      <c r="I20">
        <f ca="1" t="shared" si="8"/>
        <v>0</v>
      </c>
      <c r="J20" s="393" t="s">
        <v>103</v>
      </c>
      <c r="K20" s="162" t="str">
        <f ca="1">IF($A20=0,"-",CONCATENATE(C20&amp;".",IF(AND($A$5&gt;=2,$A20&gt;=2),D20&amp;".",""),IF(AND($A$5&gt;=3,$A20&gt;=3),E20&amp;".",""),IF(AND($A$5&gt;=4,$A20&gt;=4),F20&amp;".",""),IF($A20="S",G20&amp;".","")))</f>
        <v>1.2.4.</v>
      </c>
      <c r="L20" s="394" t="s">
        <v>238</v>
      </c>
      <c r="M20" s="394" t="s">
        <v>272</v>
      </c>
      <c r="N20" s="395" t="s">
        <v>274</v>
      </c>
      <c r="O20" s="396" t="s">
        <v>252</v>
      </c>
      <c r="P20" s="397">
        <v>354.56</v>
      </c>
      <c r="Q20" s="228"/>
      <c r="R20" s="231" t="s">
        <v>7</v>
      </c>
      <c r="S20" s="121">
        <f>IF($A20="S",IF($Q$10="Preço Unitário (R$)",PO.CustoUnitario,ROUND(PO.CustoUnitario*(1+$Z20),15-13*$X$6)),0)</f>
        <v>0</v>
      </c>
      <c r="T20" s="98">
        <f ca="1">IF($A20="S",VTOTAL1,IF($A20=0,0,ROUND(SomaAgrup,15-13*$X$7)))</f>
        <v>0</v>
      </c>
      <c r="U20" s="13" t="str">
        <f>IF($J20="","",IF($N20="","DESCRIÇÃO",IF(AND($J20="Serviço",$O20=""),"UNIDADE",IF($T20&lt;=0,"SEM VALOR",IF(AND($Y20&lt;&gt;"",$Q20&gt;$Y20),"ACIMA REF.","")))))</f>
        <v>SEM VALOR</v>
      </c>
      <c r="V20" s="4" t="str">
        <f ca="1">IF(OR($A20=0,$A20="S",$A20&gt;CFF!$A$9),"",MAX(V$12:OFFSET(V20,-1,0))+1)</f>
        <v/>
      </c>
      <c r="W20" s="9" t="str">
        <f>IF(AND($J20="Serviço",$M20&lt;&gt;""),IF($L20="",$M20,CONCATENATE($L20,"-",$M20)))</f>
        <v>SINAPI-87529</v>
      </c>
      <c r="X20" s="4" t="e">
        <f ca="1">IF(AND(Fonte&lt;&gt;"",Código&lt;&gt;""),MATCH(Fonte&amp;" "&amp;IF(Fonte="sinapi",SUBSTITUTE(SUBSTITUTE(Código,"/00","/"),"/0","/"),Código),INDIRECT("'[Referência "&amp;_XLNM.DATABASE&amp;".xls]Banco'!$a:$a"),0),"X")</f>
        <v>#REF!</v>
      </c>
      <c r="Y20" s="121">
        <v>30.31</v>
      </c>
      <c r="Z20" s="132">
        <f ca="1">ROUND(IF(ISNUMBER(R20),R20,IF(LEFT(R20,3)="BDI",HLOOKUP(R20,DADOS!$T$37:$X$38,2,FALSE),0)),15-11*$X$5)</f>
        <v>0.2644</v>
      </c>
      <c r="AA20" s="4"/>
    </row>
    <row r="21" spans="1:27" ht="12.75">
      <c r="A21" t="str">
        <f>CHOOSE(1+LOG(1+2*(J21="Meta")+4*(J21="Nível 2")+8*(J21="Nível 3")+16*(J21="Nível 4")+32*(J21="Serviço"),2),0,1,2,3,4,"S")</f>
        <v>S</v>
      </c>
      <c r="B21">
        <f>IF(OR(A21="S",A21=0),0,IF(ISERROR(I21),H21,SMALL(H21:I21,1)))</f>
        <v>0</v>
      </c>
      <c r="C21">
        <f ca="1">IF($A21=1,OFFSET(C21,-1,0)+1,OFFSET(C21,-1,0))</f>
        <v>1</v>
      </c>
      <c r="D21">
        <f ca="1">IF($A21=1,0,IF($A21=2,OFFSET(D21,-1,0)+1,OFFSET(D21,-1,0)))</f>
        <v>2</v>
      </c>
      <c r="E21">
        <f ca="1">IF(AND($A21&lt;=2,$A21&lt;&gt;0),0,IF($A21=3,OFFSET(E21,-1,0)+1,OFFSET(E21,-1,0)))</f>
        <v>0</v>
      </c>
      <c r="F21">
        <f ca="1">IF(AND($A21&lt;=3,$A21&lt;&gt;0),0,IF($A21=4,OFFSET(F21,-1,0)+1,OFFSET(F21,-1,0)))</f>
        <v>0</v>
      </c>
      <c r="G21">
        <f ca="1">IF(AND($A21&lt;=4,$A21&lt;&gt;0),0,IF($A21="S",OFFSET(G21,-1,0)+1,OFFSET(G21,-1,0)))</f>
        <v>5</v>
      </c>
      <c r="H21">
        <f ca="1" t="shared" si="7"/>
        <v>0</v>
      </c>
      <c r="I21">
        <f ca="1" t="shared" si="8"/>
        <v>0</v>
      </c>
      <c r="J21" s="393" t="s">
        <v>103</v>
      </c>
      <c r="K21" s="162" t="str">
        <f ca="1">IF($A21=0,"-",CONCATENATE(C21&amp;".",IF(AND($A$5&gt;=2,$A21&gt;=2),D21&amp;".",""),IF(AND($A$5&gt;=3,$A21&gt;=3),E21&amp;".",""),IF(AND($A$5&gt;=4,$A21&gt;=4),F21&amp;".",""),IF($A21="S",G21&amp;".","")))</f>
        <v>1.2.5.</v>
      </c>
      <c r="L21" s="394" t="s">
        <v>238</v>
      </c>
      <c r="M21" s="394" t="s">
        <v>277</v>
      </c>
      <c r="N21" s="395" t="s">
        <v>280</v>
      </c>
      <c r="O21" s="396" t="s">
        <v>252</v>
      </c>
      <c r="P21" s="397">
        <v>453.67</v>
      </c>
      <c r="Q21" s="228"/>
      <c r="R21" s="231" t="s">
        <v>7</v>
      </c>
      <c r="S21" s="121">
        <f>IF($A21="S",IF($Q$10="Preço Unitário (R$)",PO.CustoUnitario,ROUND(PO.CustoUnitario*(1+$Z21),15-13*$X$6)),0)</f>
        <v>0</v>
      </c>
      <c r="T21" s="98">
        <f ca="1">IF($A21="S",VTOTAL1,IF($A21=0,0,ROUND(SomaAgrup,15-13*$X$7)))</f>
        <v>0</v>
      </c>
      <c r="U21" s="13" t="str">
        <f>IF($J21="","",IF($N21="","DESCRIÇÃO",IF(AND($J21="Serviço",$O21=""),"UNIDADE",IF($T21&lt;=0,"SEM VALOR",IF(AND($Y21&lt;&gt;"",$Q21&gt;$Y21),"ACIMA REF.","")))))</f>
        <v>SEM VALOR</v>
      </c>
      <c r="V21" s="4" t="str">
        <f ca="1">IF(OR($A21=0,$A21="S",$A21&gt;CFF!$A$9),"",MAX(V$12:OFFSET(V21,-1,0))+1)</f>
        <v/>
      </c>
      <c r="W21" s="9" t="str">
        <f>IF(AND($J21="Serviço",$M21&lt;&gt;""),IF($L21="",$M21,CONCATENATE($L21,"-",$M21)))</f>
        <v>SINAPI-88485</v>
      </c>
      <c r="X21" s="4" t="e">
        <f ca="1">IF(AND(Fonte&lt;&gt;"",Código&lt;&gt;""),MATCH(Fonte&amp;" "&amp;IF(Fonte="sinapi",SUBSTITUTE(SUBSTITUTE(Código,"/00","/"),"/0","/"),Código),INDIRECT("'[Referência "&amp;_XLNM.DATABASE&amp;".xls]Banco'!$a:$a"),0),"X")</f>
        <v>#REF!</v>
      </c>
      <c r="Y21" s="121">
        <v>2.19</v>
      </c>
      <c r="Z21" s="132">
        <f ca="1">ROUND(IF(ISNUMBER(R21),R21,IF(LEFT(R21,3)="BDI",HLOOKUP(R21,DADOS!$T$37:$X$38,2,FALSE),0)),15-11*$X$5)</f>
        <v>0.2644</v>
      </c>
      <c r="AA21" s="4"/>
    </row>
    <row r="22" spans="1:27" ht="26.4">
      <c r="A22" t="str">
        <f>CHOOSE(1+LOG(1+2*(J22="Meta")+4*(J22="Nível 2")+8*(J22="Nível 3")+16*(J22="Nível 4")+32*(J22="Serviço"),2),0,1,2,3,4,"S")</f>
        <v>S</v>
      </c>
      <c r="B22">
        <f>IF(OR(A22="S",A22=0),0,IF(ISERROR(I22),H22,SMALL(H22:I22,1)))</f>
        <v>0</v>
      </c>
      <c r="C22">
        <f ca="1">IF($A22=1,OFFSET(C22,-1,0)+1,OFFSET(C22,-1,0))</f>
        <v>1</v>
      </c>
      <c r="D22">
        <f ca="1">IF($A22=1,0,IF($A22=2,OFFSET(D22,-1,0)+1,OFFSET(D22,-1,0)))</f>
        <v>2</v>
      </c>
      <c r="E22">
        <f ca="1">IF(AND($A22&lt;=2,$A22&lt;&gt;0),0,IF($A22=3,OFFSET(E22,-1,0)+1,OFFSET(E22,-1,0)))</f>
        <v>0</v>
      </c>
      <c r="F22">
        <f ca="1">IF(AND($A22&lt;=3,$A22&lt;&gt;0),0,IF($A22=4,OFFSET(F22,-1,0)+1,OFFSET(F22,-1,0)))</f>
        <v>0</v>
      </c>
      <c r="G22">
        <f ca="1">IF(AND($A22&lt;=4,$A22&lt;&gt;0),0,IF($A22="S",OFFSET(G22,-1,0)+1,OFFSET(G22,-1,0)))</f>
        <v>6</v>
      </c>
      <c r="H22">
        <f ca="1" t="shared" si="7"/>
        <v>0</v>
      </c>
      <c r="I22">
        <f ca="1" t="shared" si="8"/>
        <v>0</v>
      </c>
      <c r="J22" s="393" t="s">
        <v>103</v>
      </c>
      <c r="K22" s="162" t="str">
        <f ca="1">IF($A22=0,"-",CONCATENATE(C22&amp;".",IF(AND($A$5&gt;=2,$A22&gt;=2),D22&amp;".",""),IF(AND($A$5&gt;=3,$A22&gt;=3),E22&amp;".",""),IF(AND($A$5&gt;=4,$A22&gt;=4),F22&amp;".",""),IF($A22="S",G22&amp;".","")))</f>
        <v>1.2.6.</v>
      </c>
      <c r="L22" s="394" t="s">
        <v>238</v>
      </c>
      <c r="M22" s="394" t="s">
        <v>278</v>
      </c>
      <c r="N22" s="395" t="s">
        <v>281</v>
      </c>
      <c r="O22" s="396" t="s">
        <v>252</v>
      </c>
      <c r="P22" s="397">
        <v>453.67</v>
      </c>
      <c r="Q22" s="228"/>
      <c r="R22" s="231" t="s">
        <v>7</v>
      </c>
      <c r="S22" s="121">
        <f>IF($A22="S",IF($Q$10="Preço Unitário (R$)",PO.CustoUnitario,ROUND(PO.CustoUnitario*(1+$Z22),15-13*$X$6)),0)</f>
        <v>0</v>
      </c>
      <c r="T22" s="98">
        <f ca="1">IF($A22="S",VTOTAL1,IF($A22=0,0,ROUND(SomaAgrup,15-13*$X$7)))</f>
        <v>0</v>
      </c>
      <c r="U22" s="13" t="str">
        <f>IF($J22="","",IF($N22="","DESCRIÇÃO",IF(AND($J22="Serviço",$O22=""),"UNIDADE",IF($T22&lt;=0,"SEM VALOR",IF(AND($Y22&lt;&gt;"",$Q22&gt;$Y22),"ACIMA REF.","")))))</f>
        <v>SEM VALOR</v>
      </c>
      <c r="V22" s="4" t="str">
        <f ca="1">IF(OR($A22=0,$A22="S",$A22&gt;CFF!$A$9),"",MAX(V$12:OFFSET(V22,-1,0))+1)</f>
        <v/>
      </c>
      <c r="W22" s="9" t="str">
        <f>IF(AND($J22="Serviço",$M22&lt;&gt;""),IF($L22="",$M22,CONCATENATE($L22,"-",$M22)))</f>
        <v>SINAPI-88489</v>
      </c>
      <c r="X22" s="4" t="e">
        <f ca="1">IF(AND(Fonte&lt;&gt;"",Código&lt;&gt;""),MATCH(Fonte&amp;" "&amp;IF(Fonte="sinapi",SUBSTITUTE(SUBSTITUTE(Código,"/00","/"),"/0","/"),Código),INDIRECT("'[Referência "&amp;_XLNM.DATABASE&amp;".xls]Banco'!$a:$a"),0),"X")</f>
        <v>#REF!</v>
      </c>
      <c r="Y22" s="121">
        <v>12.67</v>
      </c>
      <c r="Z22" s="132">
        <f ca="1">ROUND(IF(ISNUMBER(R22),R22,IF(LEFT(R22,3)="BDI",HLOOKUP(R22,DADOS!$T$37:$X$38,2,FALSE),0)),15-11*$X$5)</f>
        <v>0.2644</v>
      </c>
      <c r="AA22" s="4"/>
    </row>
    <row r="23" spans="1:27" ht="12.75">
      <c r="A23">
        <f t="shared" si="0"/>
        <v>2</v>
      </c>
      <c r="B23">
        <f ca="1" t="shared" si="1"/>
        <v>4</v>
      </c>
      <c r="C23">
        <f ca="1" t="shared" si="2"/>
        <v>1</v>
      </c>
      <c r="D23">
        <f ca="1" t="shared" si="3"/>
        <v>3</v>
      </c>
      <c r="E23">
        <f ca="1" t="shared" si="4"/>
        <v>0</v>
      </c>
      <c r="F23">
        <f ca="1" t="shared" si="5"/>
        <v>0</v>
      </c>
      <c r="G23">
        <f ca="1" t="shared" si="6"/>
        <v>0</v>
      </c>
      <c r="H23">
        <f ca="1" t="shared" si="7"/>
        <v>9</v>
      </c>
      <c r="I23">
        <f ca="1" t="shared" si="8"/>
        <v>4</v>
      </c>
      <c r="J23" s="393" t="s">
        <v>100</v>
      </c>
      <c r="K23" s="162" t="str">
        <f ca="1" t="shared" si="9"/>
        <v>1.3.</v>
      </c>
      <c r="L23" s="394"/>
      <c r="M23" s="394"/>
      <c r="N23" s="395" t="s">
        <v>241</v>
      </c>
      <c r="O23" s="396" t="s">
        <v>106</v>
      </c>
      <c r="P23" s="397">
        <v>0</v>
      </c>
      <c r="Q23" s="228"/>
      <c r="R23" s="231" t="s">
        <v>7</v>
      </c>
      <c r="S23" s="121">
        <f t="shared" si="10"/>
        <v>0</v>
      </c>
      <c r="T23" s="98">
        <f ca="1" t="shared" si="11"/>
        <v>0</v>
      </c>
      <c r="U23" s="13" t="str">
        <f ca="1" t="shared" si="12"/>
        <v>SEM VALOR</v>
      </c>
      <c r="V23" s="4">
        <f ca="1">IF(OR($A23=0,$A23="S",$A23&gt;CFF!$A$9),"",MAX(V$12:OFFSET(V23,-1,0))+1)</f>
        <v>4</v>
      </c>
      <c r="W23" s="9" t="b">
        <f t="shared" si="13"/>
        <v>0</v>
      </c>
      <c r="X23" s="4" t="str">
        <f ca="1" t="shared" si="14"/>
        <v>X</v>
      </c>
      <c r="Y23" s="121">
        <v>0</v>
      </c>
      <c r="Z23" s="132">
        <f ca="1">ROUND(IF(ISNUMBER(R23),R23,IF(LEFT(R23,3)="BDI",HLOOKUP(R23,DADOS!$T$37:$X$38,2,FALSE),0)),15-11*$X$5)</f>
        <v>0.2644</v>
      </c>
      <c r="AA23" s="4"/>
    </row>
    <row r="24" spans="1:27" ht="12.75">
      <c r="A24" t="str">
        <f t="shared" si="0"/>
        <v>S</v>
      </c>
      <c r="B24">
        <f t="shared" si="1"/>
        <v>0</v>
      </c>
      <c r="C24">
        <f ca="1" t="shared" si="2"/>
        <v>1</v>
      </c>
      <c r="D24">
        <f ca="1" t="shared" si="3"/>
        <v>3</v>
      </c>
      <c r="E24">
        <f ca="1" t="shared" si="4"/>
        <v>0</v>
      </c>
      <c r="F24">
        <f ca="1" t="shared" si="5"/>
        <v>0</v>
      </c>
      <c r="G24">
        <f ca="1" t="shared" si="6"/>
        <v>1</v>
      </c>
      <c r="H24">
        <f ca="1" t="shared" si="7"/>
        <v>0</v>
      </c>
      <c r="I24">
        <f ca="1" t="shared" si="8"/>
        <v>0</v>
      </c>
      <c r="J24" s="393" t="s">
        <v>103</v>
      </c>
      <c r="K24" s="162" t="str">
        <f ca="1" t="shared" si="9"/>
        <v>1.3.1.</v>
      </c>
      <c r="L24" s="394" t="s">
        <v>238</v>
      </c>
      <c r="M24" s="394" t="s">
        <v>242</v>
      </c>
      <c r="N24" s="395" t="s">
        <v>255</v>
      </c>
      <c r="O24" s="396" t="s">
        <v>256</v>
      </c>
      <c r="P24" s="397">
        <v>18.6</v>
      </c>
      <c r="Q24" s="228"/>
      <c r="R24" s="231" t="s">
        <v>7</v>
      </c>
      <c r="S24" s="121">
        <f t="shared" si="10"/>
        <v>0</v>
      </c>
      <c r="T24" s="98">
        <f ca="1" t="shared" si="11"/>
        <v>0</v>
      </c>
      <c r="U24" s="13" t="str">
        <f t="shared" si="12"/>
        <v>SEM VALOR</v>
      </c>
      <c r="V24" s="4" t="str">
        <f ca="1">IF(OR($A24=0,$A24="S",$A24&gt;CFF!$A$9),"",MAX(V$12:OFFSET(V24,-1,0))+1)</f>
        <v/>
      </c>
      <c r="W24" s="9" t="str">
        <f t="shared" si="13"/>
        <v>SINAPI-93187</v>
      </c>
      <c r="X24" s="4" t="e">
        <f ca="1" t="shared" si="14"/>
        <v>#REF!</v>
      </c>
      <c r="Y24" s="121">
        <v>55.49</v>
      </c>
      <c r="Z24" s="132">
        <f ca="1">ROUND(IF(ISNUMBER(R24),R24,IF(LEFT(R24,3)="BDI",HLOOKUP(R24,DADOS!$T$37:$X$38,2,FALSE),0)),15-11*$X$5)</f>
        <v>0.2644</v>
      </c>
      <c r="AA24" s="4"/>
    </row>
    <row r="25" spans="1:27" ht="12.75">
      <c r="A25" t="str">
        <f t="shared" si="0"/>
        <v>S</v>
      </c>
      <c r="B25">
        <f t="shared" si="1"/>
        <v>0</v>
      </c>
      <c r="C25">
        <f ca="1" t="shared" si="2"/>
        <v>1</v>
      </c>
      <c r="D25">
        <f ca="1" t="shared" si="3"/>
        <v>3</v>
      </c>
      <c r="E25">
        <f ca="1" t="shared" si="4"/>
        <v>0</v>
      </c>
      <c r="F25">
        <f ca="1" t="shared" si="5"/>
        <v>0</v>
      </c>
      <c r="G25">
        <f ca="1" t="shared" si="6"/>
        <v>2</v>
      </c>
      <c r="H25">
        <f ca="1" t="shared" si="7"/>
        <v>0</v>
      </c>
      <c r="I25">
        <f ca="1" t="shared" si="8"/>
        <v>0</v>
      </c>
      <c r="J25" s="393" t="s">
        <v>103</v>
      </c>
      <c r="K25" s="162" t="str">
        <f ca="1" t="shared" si="9"/>
        <v>1.3.2.</v>
      </c>
      <c r="L25" s="394" t="s">
        <v>238</v>
      </c>
      <c r="M25" s="394" t="s">
        <v>243</v>
      </c>
      <c r="N25" s="395" t="s">
        <v>257</v>
      </c>
      <c r="O25" s="396" t="s">
        <v>256</v>
      </c>
      <c r="P25" s="397">
        <v>8.4</v>
      </c>
      <c r="Q25" s="228"/>
      <c r="R25" s="231" t="s">
        <v>7</v>
      </c>
      <c r="S25" s="121">
        <f t="shared" si="10"/>
        <v>0</v>
      </c>
      <c r="T25" s="98">
        <f ca="1" t="shared" si="11"/>
        <v>0</v>
      </c>
      <c r="U25" s="13" t="str">
        <f t="shared" si="12"/>
        <v>SEM VALOR</v>
      </c>
      <c r="V25" s="4" t="str">
        <f ca="1">IF(OR($A25=0,$A25="S",$A25&gt;CFF!$A$9),"",MAX(V$12:OFFSET(V25,-1,0))+1)</f>
        <v/>
      </c>
      <c r="W25" s="9" t="str">
        <f t="shared" si="13"/>
        <v>SINAPI-93189</v>
      </c>
      <c r="X25" s="4" t="e">
        <f ca="1" t="shared" si="14"/>
        <v>#REF!</v>
      </c>
      <c r="Y25" s="121">
        <v>55.63</v>
      </c>
      <c r="Z25" s="132">
        <f ca="1">ROUND(IF(ISNUMBER(R25),R25,IF(LEFT(R25,3)="BDI",HLOOKUP(R25,DADOS!$T$37:$X$38,2,FALSE),0)),15-11*$X$5)</f>
        <v>0.2644</v>
      </c>
      <c r="AA25" s="4"/>
    </row>
    <row r="26" spans="1:27" ht="12.75">
      <c r="A26" t="str">
        <f t="shared" si="0"/>
        <v>S</v>
      </c>
      <c r="B26">
        <f t="shared" si="1"/>
        <v>0</v>
      </c>
      <c r="C26">
        <f ca="1" t="shared" si="2"/>
        <v>1</v>
      </c>
      <c r="D26">
        <f ca="1" t="shared" si="3"/>
        <v>3</v>
      </c>
      <c r="E26">
        <f ca="1" t="shared" si="4"/>
        <v>0</v>
      </c>
      <c r="F26">
        <f ca="1" t="shared" si="5"/>
        <v>0</v>
      </c>
      <c r="G26">
        <f ca="1" t="shared" si="6"/>
        <v>3</v>
      </c>
      <c r="H26">
        <f ca="1" t="shared" si="7"/>
        <v>0</v>
      </c>
      <c r="I26">
        <f ca="1" t="shared" si="8"/>
        <v>0</v>
      </c>
      <c r="J26" s="393" t="s">
        <v>103</v>
      </c>
      <c r="K26" s="162" t="str">
        <f ca="1" t="shared" si="9"/>
        <v>1.3.3.</v>
      </c>
      <c r="L26" s="394" t="s">
        <v>238</v>
      </c>
      <c r="M26" s="394" t="s">
        <v>244</v>
      </c>
      <c r="N26" s="395" t="s">
        <v>258</v>
      </c>
      <c r="O26" s="396" t="s">
        <v>256</v>
      </c>
      <c r="P26" s="397">
        <v>18.6</v>
      </c>
      <c r="Q26" s="228"/>
      <c r="R26" s="231" t="s">
        <v>7</v>
      </c>
      <c r="S26" s="121">
        <f t="shared" si="10"/>
        <v>0</v>
      </c>
      <c r="T26" s="98">
        <f ca="1" t="shared" si="11"/>
        <v>0</v>
      </c>
      <c r="U26" s="13" t="str">
        <f t="shared" si="12"/>
        <v>SEM VALOR</v>
      </c>
      <c r="V26" s="4" t="str">
        <f ca="1">IF(OR($A26=0,$A26="S",$A26&gt;CFF!$A$9),"",MAX(V$12:OFFSET(V26,-1,0))+1)</f>
        <v/>
      </c>
      <c r="W26" s="9" t="str">
        <f t="shared" si="13"/>
        <v>SINAPI-93197</v>
      </c>
      <c r="X26" s="4" t="e">
        <f ca="1" t="shared" si="14"/>
        <v>#REF!</v>
      </c>
      <c r="Y26" s="121">
        <v>52.02</v>
      </c>
      <c r="Z26" s="132">
        <f ca="1">ROUND(IF(ISNUMBER(R26),R26,IF(LEFT(R26,3)="BDI",HLOOKUP(R26,DADOS!$T$37:$X$38,2,FALSE),0)),15-11*$X$5)</f>
        <v>0.2644</v>
      </c>
      <c r="AA26" s="4"/>
    </row>
    <row r="27" spans="1:27" ht="12.75">
      <c r="A27">
        <f t="shared" si="0"/>
        <v>2</v>
      </c>
      <c r="B27">
        <f ca="1" t="shared" si="1"/>
        <v>5</v>
      </c>
      <c r="C27">
        <f ca="1" t="shared" si="2"/>
        <v>1</v>
      </c>
      <c r="D27">
        <f ca="1" t="shared" si="3"/>
        <v>4</v>
      </c>
      <c r="E27">
        <f ca="1" t="shared" si="4"/>
        <v>0</v>
      </c>
      <c r="F27">
        <f ca="1" t="shared" si="5"/>
        <v>0</v>
      </c>
      <c r="G27">
        <f ca="1" t="shared" si="6"/>
        <v>0</v>
      </c>
      <c r="H27">
        <f ca="1" t="shared" si="7"/>
        <v>5</v>
      </c>
      <c r="I27" t="e">
        <f ca="1" t="shared" si="8"/>
        <v>#N/A</v>
      </c>
      <c r="J27" s="393" t="s">
        <v>100</v>
      </c>
      <c r="K27" s="162" t="str">
        <f ca="1" t="shared" si="9"/>
        <v>1.4.</v>
      </c>
      <c r="L27" s="394"/>
      <c r="M27" s="394"/>
      <c r="N27" s="395" t="s">
        <v>245</v>
      </c>
      <c r="O27" s="396" t="s">
        <v>106</v>
      </c>
      <c r="P27" s="397">
        <v>0</v>
      </c>
      <c r="Q27" s="228"/>
      <c r="R27" s="231" t="s">
        <v>7</v>
      </c>
      <c r="S27" s="121">
        <f t="shared" si="10"/>
        <v>0</v>
      </c>
      <c r="T27" s="98">
        <f ca="1" t="shared" si="11"/>
        <v>0</v>
      </c>
      <c r="U27" s="13" t="str">
        <f ca="1" t="shared" si="12"/>
        <v>SEM VALOR</v>
      </c>
      <c r="V27" s="4">
        <f ca="1">IF(OR($A27=0,$A27="S",$A27&gt;CFF!$A$9),"",MAX(V$12:OFFSET(V27,-1,0))+1)</f>
        <v>5</v>
      </c>
      <c r="W27" s="9" t="b">
        <f t="shared" si="13"/>
        <v>0</v>
      </c>
      <c r="X27" s="4" t="str">
        <f ca="1" t="shared" si="14"/>
        <v>X</v>
      </c>
      <c r="Y27" s="121">
        <v>0</v>
      </c>
      <c r="Z27" s="132">
        <f ca="1">ROUND(IF(ISNUMBER(R27),R27,IF(LEFT(R27,3)="BDI",HLOOKUP(R27,DADOS!$T$37:$X$38,2,FALSE),0)),15-11*$X$5)</f>
        <v>0.2644</v>
      </c>
      <c r="AA27" s="4"/>
    </row>
    <row r="28" spans="1:27" ht="12.75">
      <c r="A28" t="str">
        <f t="shared" si="0"/>
        <v>S</v>
      </c>
      <c r="B28">
        <f t="shared" si="1"/>
        <v>0</v>
      </c>
      <c r="C28">
        <f ca="1" t="shared" si="2"/>
        <v>1</v>
      </c>
      <c r="D28">
        <f ca="1" t="shared" si="3"/>
        <v>4</v>
      </c>
      <c r="E28">
        <f ca="1" t="shared" si="4"/>
        <v>0</v>
      </c>
      <c r="F28">
        <f ca="1" t="shared" si="5"/>
        <v>0</v>
      </c>
      <c r="G28">
        <f ca="1" t="shared" si="6"/>
        <v>1</v>
      </c>
      <c r="H28">
        <f ca="1" t="shared" si="7"/>
        <v>0</v>
      </c>
      <c r="I28">
        <f ca="1" t="shared" si="8"/>
        <v>0</v>
      </c>
      <c r="J28" s="393" t="s">
        <v>103</v>
      </c>
      <c r="K28" s="162" t="str">
        <f ca="1" t="shared" si="9"/>
        <v>1.4.1.</v>
      </c>
      <c r="L28" s="394" t="s">
        <v>238</v>
      </c>
      <c r="M28" s="394" t="s">
        <v>246</v>
      </c>
      <c r="N28" s="395" t="s">
        <v>259</v>
      </c>
      <c r="O28" s="396" t="s">
        <v>252</v>
      </c>
      <c r="P28" s="397">
        <v>21.84</v>
      </c>
      <c r="Q28" s="228"/>
      <c r="R28" s="231" t="s">
        <v>7</v>
      </c>
      <c r="S28" s="121">
        <f t="shared" si="10"/>
        <v>0</v>
      </c>
      <c r="T28" s="98">
        <f ca="1" t="shared" si="11"/>
        <v>0</v>
      </c>
      <c r="U28" s="13" t="str">
        <f t="shared" si="12"/>
        <v>SEM VALOR</v>
      </c>
      <c r="V28" s="4" t="str">
        <f ca="1">IF(OR($A28=0,$A28="S",$A28&gt;CFF!$A$9),"",MAX(V$12:OFFSET(V28,-1,0))+1)</f>
        <v/>
      </c>
      <c r="W28" s="9" t="str">
        <f t="shared" si="13"/>
        <v>SINAPI-68054</v>
      </c>
      <c r="X28" s="4" t="e">
        <f ca="1" t="shared" si="14"/>
        <v>#REF!</v>
      </c>
      <c r="Y28" s="121">
        <v>212.29</v>
      </c>
      <c r="Z28" s="132">
        <f ca="1">ROUND(IF(ISNUMBER(R28),R28,IF(LEFT(R28,3)="BDI",HLOOKUP(R28,DADOS!$T$37:$X$38,2,FALSE),0)),15-11*$X$5)</f>
        <v>0.2644</v>
      </c>
      <c r="AA28" s="4"/>
    </row>
    <row r="29" spans="1:27" ht="12.75">
      <c r="A29" t="str">
        <f t="shared" si="0"/>
        <v>S</v>
      </c>
      <c r="B29">
        <f t="shared" si="1"/>
        <v>0</v>
      </c>
      <c r="C29">
        <f ca="1" t="shared" si="2"/>
        <v>1</v>
      </c>
      <c r="D29">
        <f ca="1" t="shared" si="3"/>
        <v>4</v>
      </c>
      <c r="E29">
        <f ca="1" t="shared" si="4"/>
        <v>0</v>
      </c>
      <c r="F29">
        <f ca="1" t="shared" si="5"/>
        <v>0</v>
      </c>
      <c r="G29">
        <f ca="1" t="shared" si="6"/>
        <v>2</v>
      </c>
      <c r="H29">
        <f ca="1" t="shared" si="7"/>
        <v>0</v>
      </c>
      <c r="I29">
        <f ca="1" t="shared" si="8"/>
        <v>0</v>
      </c>
      <c r="J29" s="393" t="s">
        <v>103</v>
      </c>
      <c r="K29" s="162" t="str">
        <f ca="1" t="shared" si="9"/>
        <v>1.4.2.</v>
      </c>
      <c r="L29" s="394" t="s">
        <v>238</v>
      </c>
      <c r="M29" s="394" t="s">
        <v>247</v>
      </c>
      <c r="N29" s="395" t="s">
        <v>260</v>
      </c>
      <c r="O29" s="396" t="s">
        <v>252</v>
      </c>
      <c r="P29" s="397">
        <v>22.5</v>
      </c>
      <c r="Q29" s="228"/>
      <c r="R29" s="231" t="s">
        <v>7</v>
      </c>
      <c r="S29" s="121">
        <f t="shared" si="10"/>
        <v>0</v>
      </c>
      <c r="T29" s="98">
        <f ca="1" t="shared" si="11"/>
        <v>0</v>
      </c>
      <c r="U29" s="13" t="str">
        <f t="shared" si="12"/>
        <v>SEM VALOR</v>
      </c>
      <c r="V29" s="4" t="str">
        <f ca="1">IF(OR($A29=0,$A29="S",$A29&gt;CFF!$A$9),"",MAX(V$12:OFFSET(V29,-1,0))+1)</f>
        <v/>
      </c>
      <c r="W29" s="9" t="str">
        <f t="shared" si="13"/>
        <v>SINAPI-72117</v>
      </c>
      <c r="X29" s="4" t="e">
        <f ca="1" t="shared" si="14"/>
        <v>#REF!</v>
      </c>
      <c r="Y29" s="121">
        <v>99.89</v>
      </c>
      <c r="Z29" s="132">
        <f ca="1">ROUND(IF(ISNUMBER(R29),R29,IF(LEFT(R29,3)="BDI",HLOOKUP(R29,DADOS!$T$37:$X$38,2,FALSE),0)),15-11*$X$5)</f>
        <v>0.2644</v>
      </c>
      <c r="AA29" s="4"/>
    </row>
    <row r="30" spans="1:27" ht="12.75">
      <c r="A30" t="str">
        <f t="shared" si="0"/>
        <v>S</v>
      </c>
      <c r="B30">
        <f t="shared" si="1"/>
        <v>0</v>
      </c>
      <c r="C30">
        <f ca="1" t="shared" si="2"/>
        <v>1</v>
      </c>
      <c r="D30">
        <f ca="1" t="shared" si="3"/>
        <v>4</v>
      </c>
      <c r="E30">
        <f ca="1" t="shared" si="4"/>
        <v>0</v>
      </c>
      <c r="F30">
        <f ca="1" t="shared" si="5"/>
        <v>0</v>
      </c>
      <c r="G30">
        <f ca="1" t="shared" si="6"/>
        <v>3</v>
      </c>
      <c r="H30">
        <f ca="1" t="shared" si="7"/>
        <v>0</v>
      </c>
      <c r="I30">
        <f ca="1" t="shared" si="8"/>
        <v>0</v>
      </c>
      <c r="J30" s="393" t="s">
        <v>103</v>
      </c>
      <c r="K30" s="162" t="str">
        <f ca="1" t="shared" si="9"/>
        <v>1.4.3.</v>
      </c>
      <c r="L30" s="394" t="s">
        <v>238</v>
      </c>
      <c r="M30" s="394" t="s">
        <v>248</v>
      </c>
      <c r="N30" s="395" t="s">
        <v>261</v>
      </c>
      <c r="O30" s="396" t="s">
        <v>252</v>
      </c>
      <c r="P30" s="397">
        <v>88.68</v>
      </c>
      <c r="Q30" s="228"/>
      <c r="R30" s="231" t="s">
        <v>7</v>
      </c>
      <c r="S30" s="121">
        <f t="shared" si="10"/>
        <v>0</v>
      </c>
      <c r="T30" s="98">
        <f ca="1" t="shared" si="11"/>
        <v>0</v>
      </c>
      <c r="U30" s="13" t="str">
        <f t="shared" si="12"/>
        <v>SEM VALOR</v>
      </c>
      <c r="V30" s="4" t="str">
        <f ca="1">IF(OR($A30=0,$A30="S",$A30&gt;CFF!$A$9),"",MAX(V$12:OFFSET(V30,-1,0))+1)</f>
        <v/>
      </c>
      <c r="W30" s="9" t="str">
        <f t="shared" si="13"/>
        <v>SINAPI-73924/1</v>
      </c>
      <c r="X30" s="4" t="e">
        <f ca="1" t="shared" si="14"/>
        <v>#REF!</v>
      </c>
      <c r="Y30" s="121">
        <v>27.18</v>
      </c>
      <c r="Z30" s="132">
        <f ca="1">ROUND(IF(ISNUMBER(R30),R30,IF(LEFT(R30,3)="BDI",HLOOKUP(R30,DADOS!$T$37:$X$38,2,FALSE),0)),15-11*$X$5)</f>
        <v>0.2644</v>
      </c>
      <c r="AA30" s="4"/>
    </row>
    <row r="31" spans="1:27" ht="12.75">
      <c r="A31" t="str">
        <f>CHOOSE(1+LOG(1+2*(J31="Meta")+4*(J31="Nível 2")+8*(J31="Nível 3")+16*(J31="Nível 4")+32*(J31="Serviço"),2),0,1,2,3,4,"S")</f>
        <v>S</v>
      </c>
      <c r="B31">
        <f>IF(OR(A31="S",A31=0),0,IF(ISERROR(I31),H31,SMALL(H31:I31,1)))</f>
        <v>0</v>
      </c>
      <c r="C31">
        <f ca="1">IF($A31=1,OFFSET(C31,-1,0)+1,OFFSET(C31,-1,0))</f>
        <v>1</v>
      </c>
      <c r="D31">
        <f ca="1">IF($A31=1,0,IF($A31=2,OFFSET(D31,-1,0)+1,OFFSET(D31,-1,0)))</f>
        <v>4</v>
      </c>
      <c r="E31">
        <f ca="1">IF(AND($A31&lt;=2,$A31&lt;&gt;0),0,IF($A31=3,OFFSET(E31,-1,0)+1,OFFSET(E31,-1,0)))</f>
        <v>0</v>
      </c>
      <c r="F31">
        <f ca="1">IF(AND($A31&lt;=3,$A31&lt;&gt;0),0,IF($A31=4,OFFSET(F31,-1,0)+1,OFFSET(F31,-1,0)))</f>
        <v>0</v>
      </c>
      <c r="G31">
        <f ca="1">IF(AND($A31&lt;=4,$A31&lt;&gt;0),0,IF($A31="S",OFFSET(G31,-1,0)+1,OFFSET(G31,-1,0)))</f>
        <v>4</v>
      </c>
      <c r="H31">
        <f ca="1" t="shared" si="7"/>
        <v>0</v>
      </c>
      <c r="I31">
        <f ca="1" t="shared" si="8"/>
        <v>0</v>
      </c>
      <c r="J31" s="393" t="s">
        <v>103</v>
      </c>
      <c r="K31" s="162" t="str">
        <f ca="1">IF($A31=0,"-",CONCATENATE(C31&amp;".",IF(AND($A$5&gt;=2,$A31&gt;=2),D31&amp;".",""),IF(AND($A$5&gt;=3,$A31&gt;=3),E31&amp;".",""),IF(AND($A$5&gt;=4,$A31&gt;=4),F31&amp;".",""),IF($A31="S",G31&amp;".","")))</f>
        <v>1.4.4.</v>
      </c>
      <c r="L31" s="394" t="s">
        <v>249</v>
      </c>
      <c r="M31" s="394" t="s">
        <v>250</v>
      </c>
      <c r="N31" s="395" t="s">
        <v>262</v>
      </c>
      <c r="O31" s="396" t="s">
        <v>263</v>
      </c>
      <c r="P31" s="397">
        <v>22.5</v>
      </c>
      <c r="Q31" s="228"/>
      <c r="R31" s="231" t="s">
        <v>7</v>
      </c>
      <c r="S31" s="121">
        <f>IF($A31="S",IF($Q$10="Preço Unitário (R$)",PO.CustoUnitario,ROUND(PO.CustoUnitario*(1+$Z31),15-13*$X$6)),0)</f>
        <v>0</v>
      </c>
      <c r="T31" s="98">
        <f ca="1">IF($A31="S",VTOTAL1,IF($A31=0,0,ROUND(SomaAgrup,15-13*$X$7)))</f>
        <v>0</v>
      </c>
      <c r="U31" s="13" t="str">
        <f>IF($J31="","",IF($N31="","DESCRIÇÃO",IF(AND($J31="Serviço",$O31=""),"UNIDADE",IF($T31&lt;=0,"SEM VALOR",IF(AND($Y31&lt;&gt;"",$Q31&gt;$Y31),"ACIMA REF.","")))))</f>
        <v>SEM VALOR</v>
      </c>
      <c r="V31" s="4" t="str">
        <f ca="1">IF(OR($A31=0,$A31="S",$A31&gt;CFF!$A$9),"",MAX(V$12:OFFSET(V31,-1,0))+1)</f>
        <v/>
      </c>
      <c r="W31" s="9" t="str">
        <f>IF(AND($J31="Serviço",$M31&lt;&gt;""),IF($L31="",$M31,CONCATENATE($L31,"-",$M31)))</f>
        <v>COMPOSIÇÃO-001</v>
      </c>
      <c r="X31" s="4" t="e">
        <f ca="1">IF(AND(Fonte&lt;&gt;"",Código&lt;&gt;""),MATCH(Fonte&amp;" "&amp;IF(Fonte="sinapi",SUBSTITUTE(SUBSTITUTE(Código,"/00","/"),"/0","/"),Código),INDIRECT("'[Referência "&amp;_XLNM.DATABASE&amp;".xls]Banco'!$a:$a"),0),"X")</f>
        <v>#REF!</v>
      </c>
      <c r="Y31" s="121">
        <v>385.2</v>
      </c>
      <c r="Z31" s="132">
        <f ca="1">ROUND(IF(ISNUMBER(R31),R31,IF(LEFT(R31,3)="BDI",HLOOKUP(R31,DADOS!$T$37:$X$38,2,FALSE),0)),15-11*$X$5)</f>
        <v>0.2644</v>
      </c>
      <c r="AA31" s="4"/>
    </row>
    <row r="32" spans="1:27" ht="12.75">
      <c r="A32">
        <v>-1</v>
      </c>
      <c r="C32">
        <v>0</v>
      </c>
      <c r="D32">
        <v>0</v>
      </c>
      <c r="E32">
        <v>0</v>
      </c>
      <c r="F32">
        <v>0</v>
      </c>
      <c r="G32">
        <v>0</v>
      </c>
      <c r="J32" s="83"/>
      <c r="K32" s="83"/>
      <c r="L32" s="83"/>
      <c r="M32" s="83"/>
      <c r="N32" s="83"/>
      <c r="O32" s="83"/>
      <c r="P32" s="83"/>
      <c r="Q32" s="83"/>
      <c r="R32" s="83"/>
      <c r="S32" s="83"/>
      <c r="T32" s="83"/>
      <c r="U32" s="4"/>
      <c r="V32" s="4"/>
      <c r="W32" s="4"/>
      <c r="X32" s="4"/>
      <c r="Y32" s="4"/>
      <c r="Z32" s="4"/>
      <c r="AA32" s="4"/>
    </row>
    <row r="33" spans="1:27" ht="13.8">
      <c r="A33" s="4"/>
      <c r="B33" s="4"/>
      <c r="C33" s="4"/>
      <c r="D33" s="4"/>
      <c r="E33" s="4"/>
      <c r="F33" s="4"/>
      <c r="G33" s="4"/>
      <c r="H33" s="4"/>
      <c r="I33" s="4"/>
      <c r="J33" s="4"/>
      <c r="K33" s="84" t="s">
        <v>62</v>
      </c>
      <c r="L33" s="4"/>
      <c r="M33" s="365" t="s">
        <v>141</v>
      </c>
      <c r="N33" s="366"/>
      <c r="O33" s="366"/>
      <c r="P33" s="366"/>
      <c r="Q33" s="366"/>
      <c r="R33" s="366"/>
      <c r="S33" s="366"/>
      <c r="T33" s="367"/>
      <c r="U33" s="4"/>
      <c r="V33" s="4"/>
      <c r="W33" s="4"/>
      <c r="X33" s="4"/>
      <c r="Y33" s="4"/>
      <c r="Z33" s="4"/>
      <c r="AA33" s="4"/>
    </row>
    <row r="34" spans="1:27" ht="12.75">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spans="1:27" ht="13.8">
      <c r="A35" s="4"/>
      <c r="B35" s="4"/>
      <c r="C35" s="4"/>
      <c r="D35" s="4"/>
      <c r="E35" s="4"/>
      <c r="F35" s="4"/>
      <c r="G35" s="4"/>
      <c r="H35" s="4"/>
      <c r="I35" s="4"/>
      <c r="J35" s="4"/>
      <c r="K35" s="90" t="s">
        <v>21</v>
      </c>
      <c r="L35" s="20"/>
      <c r="M35" s="20"/>
      <c r="N35" s="20"/>
      <c r="O35" s="20"/>
      <c r="P35" s="20"/>
      <c r="Q35" s="20"/>
      <c r="R35" s="20"/>
      <c r="S35" s="20"/>
      <c r="T35" s="89"/>
      <c r="U35" s="4"/>
      <c r="V35" s="4"/>
      <c r="W35" s="4"/>
      <c r="X35" s="4"/>
      <c r="Y35" s="4"/>
      <c r="Z35" s="4"/>
      <c r="AA35" s="4"/>
    </row>
    <row r="36" spans="1:27" ht="12.75" customHeight="1">
      <c r="A36" s="4"/>
      <c r="B36" s="4"/>
      <c r="C36" s="4"/>
      <c r="D36" s="4"/>
      <c r="E36" s="4"/>
      <c r="F36" s="4"/>
      <c r="G36" s="4"/>
      <c r="H36" s="4"/>
      <c r="I36" s="4"/>
      <c r="J36" s="4"/>
      <c r="K36" s="359"/>
      <c r="L36" s="360"/>
      <c r="M36" s="360"/>
      <c r="N36" s="360"/>
      <c r="O36" s="360"/>
      <c r="P36" s="360"/>
      <c r="Q36" s="360"/>
      <c r="R36" s="360"/>
      <c r="S36" s="360"/>
      <c r="T36" s="361"/>
      <c r="U36" s="4"/>
      <c r="V36" s="4"/>
      <c r="W36" s="4"/>
      <c r="X36" s="4"/>
      <c r="Y36" s="4"/>
      <c r="Z36" s="4"/>
      <c r="AA36" s="4"/>
    </row>
    <row r="37" spans="1:27" ht="12.75">
      <c r="A37" s="4"/>
      <c r="B37" s="4"/>
      <c r="C37" s="4"/>
      <c r="D37" s="4"/>
      <c r="E37" s="4"/>
      <c r="F37" s="4"/>
      <c r="G37" s="4"/>
      <c r="H37" s="4"/>
      <c r="I37" s="4"/>
      <c r="J37" s="4"/>
      <c r="K37" s="359"/>
      <c r="L37" s="360"/>
      <c r="M37" s="360"/>
      <c r="N37" s="360"/>
      <c r="O37" s="360"/>
      <c r="P37" s="360"/>
      <c r="Q37" s="360"/>
      <c r="R37" s="360"/>
      <c r="S37" s="360"/>
      <c r="T37" s="361"/>
      <c r="U37" s="4"/>
      <c r="V37" s="4"/>
      <c r="W37" s="4"/>
      <c r="X37" s="4"/>
      <c r="Y37" s="4"/>
      <c r="Z37" s="4"/>
      <c r="AA37" s="4"/>
    </row>
    <row r="38" spans="1:27" ht="12.75">
      <c r="A38" s="4"/>
      <c r="B38" s="4"/>
      <c r="C38" s="4"/>
      <c r="D38" s="4"/>
      <c r="E38" s="4"/>
      <c r="F38" s="4"/>
      <c r="G38" s="4"/>
      <c r="H38" s="4"/>
      <c r="I38" s="4"/>
      <c r="J38" s="4"/>
      <c r="K38" s="362"/>
      <c r="L38" s="363"/>
      <c r="M38" s="363"/>
      <c r="N38" s="363"/>
      <c r="O38" s="363"/>
      <c r="P38" s="363"/>
      <c r="Q38" s="363"/>
      <c r="R38" s="363"/>
      <c r="S38" s="363"/>
      <c r="T38" s="364"/>
      <c r="U38" s="4"/>
      <c r="V38" s="4"/>
      <c r="W38" s="4"/>
      <c r="X38" s="4"/>
      <c r="Y38" s="4"/>
      <c r="Z38" s="4"/>
      <c r="AA38" s="4"/>
    </row>
    <row r="39" spans="1:27" ht="13.8">
      <c r="A39" s="4"/>
      <c r="B39" s="4"/>
      <c r="C39" s="4"/>
      <c r="D39" s="4"/>
      <c r="E39" s="4"/>
      <c r="F39" s="4"/>
      <c r="G39" s="4"/>
      <c r="H39" s="4"/>
      <c r="I39" s="4"/>
      <c r="J39" s="4"/>
      <c r="K39" s="213"/>
      <c r="L39" s="213"/>
      <c r="M39" s="213"/>
      <c r="N39" s="213"/>
      <c r="O39" s="213"/>
      <c r="P39" s="213"/>
      <c r="Q39" s="213"/>
      <c r="R39" s="213"/>
      <c r="S39" s="213"/>
      <c r="T39" s="213"/>
      <c r="U39" s="4"/>
      <c r="V39" s="4"/>
      <c r="W39" s="4"/>
      <c r="X39" s="4"/>
      <c r="Y39" s="4"/>
      <c r="Z39" s="4"/>
      <c r="AA39" s="4"/>
    </row>
    <row r="40" spans="1:27" ht="13.8">
      <c r="A40" s="4"/>
      <c r="B40" s="4"/>
      <c r="C40" s="4"/>
      <c r="D40" s="4"/>
      <c r="E40" s="4"/>
      <c r="F40" s="4"/>
      <c r="G40" s="4"/>
      <c r="H40" s="4"/>
      <c r="I40" s="4"/>
      <c r="J40" s="4"/>
      <c r="K40" s="356"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40" s="357"/>
      <c r="M40" s="357"/>
      <c r="N40" s="357"/>
      <c r="O40" s="357"/>
      <c r="P40" s="357"/>
      <c r="Q40" s="357"/>
      <c r="R40" s="357"/>
      <c r="S40" s="357"/>
      <c r="T40" s="358"/>
      <c r="U40" s="4"/>
      <c r="V40" s="4"/>
      <c r="W40" s="4"/>
      <c r="X40" s="4"/>
      <c r="Y40" s="4"/>
      <c r="Z40" s="4"/>
      <c r="AA40" s="4"/>
    </row>
    <row r="41" spans="1:27" ht="12.75">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21"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2.75">
      <c r="A43" s="4"/>
      <c r="B43" s="4"/>
      <c r="C43" s="4"/>
      <c r="D43" s="4"/>
      <c r="E43" s="4"/>
      <c r="F43" s="4"/>
      <c r="G43" s="4"/>
      <c r="H43" s="4"/>
      <c r="I43" s="4"/>
      <c r="J43" s="4"/>
      <c r="K43" s="369" t="str">
        <f>Import.Município</f>
        <v>RIQUEZA / SC</v>
      </c>
      <c r="L43" s="369"/>
      <c r="M43" s="369"/>
      <c r="N43" s="4"/>
      <c r="O43" s="4"/>
      <c r="P43" s="4"/>
      <c r="Q43" s="4"/>
      <c r="R43" s="4"/>
      <c r="S43" s="4"/>
      <c r="T43" s="4"/>
      <c r="U43" s="4"/>
      <c r="V43" s="4"/>
      <c r="W43" s="4"/>
      <c r="X43" s="4"/>
      <c r="Y43" s="4"/>
      <c r="Z43" s="4"/>
      <c r="AA43" s="4"/>
    </row>
    <row r="44" spans="1:27" ht="12.75">
      <c r="A44" s="4"/>
      <c r="B44" s="4"/>
      <c r="C44" s="4"/>
      <c r="D44" s="4"/>
      <c r="E44" s="4"/>
      <c r="F44" s="4"/>
      <c r="G44" s="4"/>
      <c r="H44" s="4"/>
      <c r="I44" s="4"/>
      <c r="J44" s="4"/>
      <c r="K44" s="112" t="s">
        <v>120</v>
      </c>
      <c r="L44" s="4"/>
      <c r="M44" s="4"/>
      <c r="N44" s="4"/>
      <c r="O44" s="4"/>
      <c r="P44" s="4"/>
      <c r="Q44" s="4"/>
      <c r="R44" s="4"/>
      <c r="S44" s="4"/>
      <c r="T44" s="4"/>
      <c r="U44" s="4"/>
      <c r="V44" s="4"/>
      <c r="W44" s="4"/>
      <c r="X44" s="4"/>
      <c r="Y44" s="4"/>
      <c r="Z44" s="4"/>
      <c r="AA44" s="4"/>
    </row>
    <row r="45" spans="1:27" ht="12.7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2.75">
      <c r="A46" s="4"/>
      <c r="B46" s="4"/>
      <c r="C46" s="4"/>
      <c r="D46" s="4"/>
      <c r="E46" s="4"/>
      <c r="F46" s="4"/>
      <c r="G46" s="4"/>
      <c r="H46" s="4"/>
      <c r="I46" s="4"/>
      <c r="J46" s="4"/>
      <c r="K46" s="368">
        <f ca="1">TODAY()</f>
        <v>43048</v>
      </c>
      <c r="L46" s="368"/>
      <c r="M46" s="368"/>
      <c r="N46" s="4"/>
      <c r="O46" s="4"/>
      <c r="P46" s="4"/>
      <c r="Q46" s="4"/>
      <c r="R46" s="4"/>
      <c r="S46" s="4"/>
      <c r="T46" s="4"/>
      <c r="U46" s="4"/>
      <c r="V46" s="4"/>
      <c r="W46" s="4"/>
      <c r="X46" s="4"/>
      <c r="Y46" s="4"/>
      <c r="Z46" s="4"/>
      <c r="AA46" s="4"/>
    </row>
    <row r="47" spans="1:27" ht="12.75">
      <c r="A47" s="4"/>
      <c r="B47" s="4"/>
      <c r="C47" s="4"/>
      <c r="D47" s="4"/>
      <c r="E47" s="4"/>
      <c r="F47" s="4"/>
      <c r="G47" s="4"/>
      <c r="H47" s="4"/>
      <c r="I47" s="4"/>
      <c r="J47" s="4"/>
      <c r="K47" s="141" t="s">
        <v>121</v>
      </c>
      <c r="L47" s="83"/>
      <c r="M47" s="83"/>
      <c r="N47" s="4"/>
      <c r="O47" s="4"/>
      <c r="P47" s="4"/>
      <c r="Q47" s="4"/>
      <c r="R47" s="4"/>
      <c r="S47" s="4"/>
      <c r="T47" s="4"/>
      <c r="U47" s="4"/>
      <c r="V47" s="4"/>
      <c r="W47" s="4"/>
      <c r="X47" s="4"/>
      <c r="Y47" s="4"/>
      <c r="Z47" s="4"/>
      <c r="AA47" s="4"/>
    </row>
  </sheetData>
  <sheetProtection algorithmName="SHA-512" hashValue="Jdu0RizMe53asx+S0WuKK1LpVB+9cVd0zXYKbspbnu8Zkf3d5KHiLcljZIYAt4sGnOXEpcPwGWd/0dFy+lu1JA==" saltValue="4s3QAtSaN7q85sGmFgNIYQ==" spinCount="100000" sheet="1" objects="1" scenarios="1"/>
  <mergeCells count="6">
    <mergeCell ref="W2:X2"/>
    <mergeCell ref="K40:T40"/>
    <mergeCell ref="K36:T38"/>
    <mergeCell ref="M33:T33"/>
    <mergeCell ref="K46:M46"/>
    <mergeCell ref="K43:M43"/>
  </mergeCells>
  <conditionalFormatting sqref="O12:R12 L12:M12">
    <cfRule type="expression" priority="1937" dxfId="91" stopIfTrue="1">
      <formula>$J12=$C$2</formula>
    </cfRule>
    <cfRule type="expression" priority="1938" dxfId="286" stopIfTrue="1">
      <formula>UPPER(LEFT($J12,5))="NÍVEL"</formula>
    </cfRule>
    <cfRule type="expression" priority="1939" dxfId="288" stopIfTrue="1">
      <formula>$J12=$C$8</formula>
    </cfRule>
  </conditionalFormatting>
  <conditionalFormatting sqref="Y12:Z12 S12:T12 K12">
    <cfRule type="expression" priority="1940" dxfId="91" stopIfTrue="1">
      <formula>$J12=$C$2</formula>
    </cfRule>
    <cfRule type="expression" priority="1941" dxfId="286" stopIfTrue="1">
      <formula>UPPER(LEFT($J12,5))="NÍVEL"</formula>
    </cfRule>
  </conditionalFormatting>
  <conditionalFormatting sqref="K11 K13 K15:K20 K23:K30">
    <cfRule type="expression" priority="1953" dxfId="16" stopIfTrue="1">
      <formula>$J11=$C$2</formula>
    </cfRule>
    <cfRule type="expression" priority="1954" dxfId="90" stopIfTrue="1">
      <formula>AND($J11&lt;&gt;"",$J11&lt;&gt;"Serviço")</formula>
    </cfRule>
    <cfRule type="expression" priority="1955" dxfId="84" stopIfTrue="1">
      <formula>$J11=""</formula>
    </cfRule>
  </conditionalFormatting>
  <conditionalFormatting sqref="P11 P13 P15:P20 P23:P30">
    <cfRule type="expression" priority="280" dxfId="190" stopIfTrue="1">
      <formula>$J11=$C$2</formula>
    </cfRule>
    <cfRule type="expression" priority="1959" dxfId="189" stopIfTrue="1">
      <formula>AND($J11&lt;&gt;"Serviço")</formula>
    </cfRule>
    <cfRule type="expression" priority="1960" dxfId="188" stopIfTrue="1">
      <formula>CELL("proteger",P11)</formula>
    </cfRule>
  </conditionalFormatting>
  <conditionalFormatting sqref="Q11:R11 Q13:R13 Q15:R20 Q23:R30">
    <cfRule type="expression" priority="1961" dxfId="178" stopIfTrue="1">
      <formula>$J11=$C$2</formula>
    </cfRule>
    <cfRule type="expression" priority="1962" dxfId="177" stopIfTrue="1">
      <formula>$J11&lt;&gt;"Serviço"</formula>
    </cfRule>
    <cfRule type="expression" priority="1963" dxfId="83" stopIfTrue="1">
      <formula>CELL("proteger",Q11)</formula>
    </cfRule>
  </conditionalFormatting>
  <conditionalFormatting sqref="S11:T11 Y11:Z11 S13:T13 Y13:Z13 S15:T20 Y15:Z20 Y23:Z30 S23:T30">
    <cfRule type="expression" priority="1964" dxfId="16" stopIfTrue="1">
      <formula>$J11=$C$2</formula>
    </cfRule>
    <cfRule type="expression" priority="1965" dxfId="90" stopIfTrue="1">
      <formula>$J11&lt;&gt;"Serviço"</formula>
    </cfRule>
  </conditionalFormatting>
  <conditionalFormatting sqref="L11:M11 L13:M13 L15:M20 L23:M30">
    <cfRule type="expression" priority="1985" dxfId="178" stopIfTrue="1">
      <formula>$J11=$C$2</formula>
    </cfRule>
    <cfRule type="expression" priority="1986" dxfId="177" stopIfTrue="1">
      <formula>$J11&lt;&gt;"Serviço"</formula>
    </cfRule>
    <cfRule type="expression" priority="1987" dxfId="83" stopIfTrue="1">
      <formula>OR(CELL("proteger",L11),$J11="",TipoOrçamento="Licitado")</formula>
    </cfRule>
  </conditionalFormatting>
  <conditionalFormatting sqref="K33:T33">
    <cfRule type="expression" priority="1966" dxfId="68" stopIfTrue="1">
      <formula>OR(Tipo.Orçamento="LICITADO",Tipo.Orçamento="REPROGRAMADOAC")</formula>
    </cfRule>
    <cfRule type="expression" priority="1967" dxfId="270" stopIfTrue="1">
      <formula>$M$33=""</formula>
    </cfRule>
  </conditionalFormatting>
  <conditionalFormatting sqref="J11 J13 J16 J18:J19 J23:J30">
    <cfRule type="expression" priority="1994" dxfId="83" stopIfTrue="1">
      <formula>TipoOrçamento="Licitado"</formula>
    </cfRule>
  </conditionalFormatting>
  <conditionalFormatting sqref="O11 O13 O15:O20 O23:O30">
    <cfRule type="expression" priority="300" dxfId="178" stopIfTrue="1">
      <formula>$J11=$C$2</formula>
    </cfRule>
    <cfRule type="expression" priority="301" dxfId="177" stopIfTrue="1">
      <formula>AND($J11&lt;&gt;"Serviço")</formula>
    </cfRule>
    <cfRule type="expression" priority="302" dxfId="83" stopIfTrue="1">
      <formula>CELL("proteger",O11)</formula>
    </cfRule>
  </conditionalFormatting>
  <conditionalFormatting sqref="N11 N15:N20 N23:N30">
    <cfRule type="expression" priority="303" dxfId="175" stopIfTrue="1">
      <formula>$J11=$C$2</formula>
    </cfRule>
    <cfRule type="expression" priority="304" dxfId="90" stopIfTrue="1">
      <formula>$J11&lt;&gt;"Serviço"</formula>
    </cfRule>
    <cfRule type="expression" priority="305" dxfId="83" stopIfTrue="1">
      <formula>CELL("proteger",N11)</formula>
    </cfRule>
  </conditionalFormatting>
  <conditionalFormatting sqref="N13">
    <cfRule type="expression" priority="169" dxfId="175" stopIfTrue="1">
      <formula>$J13=$C$2</formula>
    </cfRule>
    <cfRule type="expression" priority="170" dxfId="90" stopIfTrue="1">
      <formula>$J13&lt;&gt;"Serviço"</formula>
    </cfRule>
    <cfRule type="expression" priority="171" dxfId="83" stopIfTrue="1">
      <formula>CELL("proteger",N13)</formula>
    </cfRule>
  </conditionalFormatting>
  <conditionalFormatting sqref="K14">
    <cfRule type="expression" priority="155" dxfId="16" stopIfTrue="1">
      <formula>$J14=$C$2</formula>
    </cfRule>
    <cfRule type="expression" priority="156" dxfId="90" stopIfTrue="1">
      <formula>AND($J14&lt;&gt;"",$J14&lt;&gt;"Serviço")</formula>
    </cfRule>
    <cfRule type="expression" priority="157" dxfId="84" stopIfTrue="1">
      <formula>$J14=""</formula>
    </cfRule>
  </conditionalFormatting>
  <conditionalFormatting sqref="P14">
    <cfRule type="expression" priority="148" dxfId="190" stopIfTrue="1">
      <formula>$J14=$C$2</formula>
    </cfRule>
    <cfRule type="expression" priority="158" dxfId="189" stopIfTrue="1">
      <formula>AND($J14&lt;&gt;"Serviço")</formula>
    </cfRule>
    <cfRule type="expression" priority="159" dxfId="188" stopIfTrue="1">
      <formula>CELL("proteger",P14)</formula>
    </cfRule>
  </conditionalFormatting>
  <conditionalFormatting sqref="Q14:R14">
    <cfRule type="expression" priority="160" dxfId="178" stopIfTrue="1">
      <formula>$J14=$C$2</formula>
    </cfRule>
    <cfRule type="expression" priority="161" dxfId="177" stopIfTrue="1">
      <formula>$J14&lt;&gt;"Serviço"</formula>
    </cfRule>
    <cfRule type="expression" priority="162" dxfId="83" stopIfTrue="1">
      <formula>CELL("proteger",Q14)</formula>
    </cfRule>
  </conditionalFormatting>
  <conditionalFormatting sqref="S14:T14 Y14:Z14">
    <cfRule type="expression" priority="163" dxfId="16" stopIfTrue="1">
      <formula>$J14=$C$2</formula>
    </cfRule>
    <cfRule type="expression" priority="164" dxfId="90" stopIfTrue="1">
      <formula>$J14&lt;&gt;"Serviço"</formula>
    </cfRule>
  </conditionalFormatting>
  <conditionalFormatting sqref="L14:M14">
    <cfRule type="expression" priority="165" dxfId="178" stopIfTrue="1">
      <formula>$J14=$C$2</formula>
    </cfRule>
    <cfRule type="expression" priority="166" dxfId="177" stopIfTrue="1">
      <formula>$J14&lt;&gt;"Serviço"</formula>
    </cfRule>
    <cfRule type="expression" priority="167" dxfId="83" stopIfTrue="1">
      <formula>OR(CELL("proteger",L14),$J14="",TipoOrçamento="Licitado")</formula>
    </cfRule>
  </conditionalFormatting>
  <conditionalFormatting sqref="J14">
    <cfRule type="expression" priority="168" dxfId="83" stopIfTrue="1">
      <formula>TipoOrçamento="Licitado"</formula>
    </cfRule>
  </conditionalFormatting>
  <conditionalFormatting sqref="O14">
    <cfRule type="expression" priority="149" dxfId="178" stopIfTrue="1">
      <formula>$J14=$C$2</formula>
    </cfRule>
    <cfRule type="expression" priority="150" dxfId="177" stopIfTrue="1">
      <formula>AND($J14&lt;&gt;"Serviço")</formula>
    </cfRule>
    <cfRule type="expression" priority="151" dxfId="83" stopIfTrue="1">
      <formula>CELL("proteger",O14)</formula>
    </cfRule>
  </conditionalFormatting>
  <conditionalFormatting sqref="N14">
    <cfRule type="expression" priority="152" dxfId="175" stopIfTrue="1">
      <formula>$J14=$C$2</formula>
    </cfRule>
    <cfRule type="expression" priority="153" dxfId="90" stopIfTrue="1">
      <formula>$J14&lt;&gt;"Serviço"</formula>
    </cfRule>
    <cfRule type="expression" priority="154" dxfId="83" stopIfTrue="1">
      <formula>CELL("proteger",N14)</formula>
    </cfRule>
  </conditionalFormatting>
  <conditionalFormatting sqref="J17">
    <cfRule type="expression" priority="126" dxfId="83" stopIfTrue="1">
      <formula>TipoOrçamento="Licitado"</formula>
    </cfRule>
  </conditionalFormatting>
  <conditionalFormatting sqref="J20">
    <cfRule type="expression" priority="105" dxfId="83" stopIfTrue="1">
      <formula>TipoOrçamento="Licitado"</formula>
    </cfRule>
  </conditionalFormatting>
  <conditionalFormatting sqref="J15">
    <cfRule type="expression" priority="84" dxfId="83" stopIfTrue="1">
      <formula>TipoOrçamento="Licitado"</formula>
    </cfRule>
  </conditionalFormatting>
  <conditionalFormatting sqref="K31">
    <cfRule type="expression" priority="50" dxfId="16" stopIfTrue="1">
      <formula>$J31=$C$2</formula>
    </cfRule>
    <cfRule type="expression" priority="51" dxfId="90" stopIfTrue="1">
      <formula>AND($J31&lt;&gt;"",$J31&lt;&gt;"Serviço")</formula>
    </cfRule>
    <cfRule type="expression" priority="52" dxfId="84" stopIfTrue="1">
      <formula>$J31=""</formula>
    </cfRule>
  </conditionalFormatting>
  <conditionalFormatting sqref="P31">
    <cfRule type="expression" priority="43" dxfId="190" stopIfTrue="1">
      <formula>$J31=$C$2</formula>
    </cfRule>
    <cfRule type="expression" priority="53" dxfId="189" stopIfTrue="1">
      <formula>AND($J31&lt;&gt;"Serviço")</formula>
    </cfRule>
    <cfRule type="expression" priority="54" dxfId="188" stopIfTrue="1">
      <formula>CELL("proteger",P31)</formula>
    </cfRule>
  </conditionalFormatting>
  <conditionalFormatting sqref="Q31:R31">
    <cfRule type="expression" priority="55" dxfId="178" stopIfTrue="1">
      <formula>$J31=$C$2</formula>
    </cfRule>
    <cfRule type="expression" priority="56" dxfId="177" stopIfTrue="1">
      <formula>$J31&lt;&gt;"Serviço"</formula>
    </cfRule>
    <cfRule type="expression" priority="57" dxfId="83" stopIfTrue="1">
      <formula>CELL("proteger",Q31)</formula>
    </cfRule>
  </conditionalFormatting>
  <conditionalFormatting sqref="S31:T31 Y31:Z31">
    <cfRule type="expression" priority="58" dxfId="16" stopIfTrue="1">
      <formula>$J31=$C$2</formula>
    </cfRule>
    <cfRule type="expression" priority="59" dxfId="90" stopIfTrue="1">
      <formula>$J31&lt;&gt;"Serviço"</formula>
    </cfRule>
  </conditionalFormatting>
  <conditionalFormatting sqref="L31:M31">
    <cfRule type="expression" priority="60" dxfId="178" stopIfTrue="1">
      <formula>$J31=$C$2</formula>
    </cfRule>
    <cfRule type="expression" priority="61" dxfId="177" stopIfTrue="1">
      <formula>$J31&lt;&gt;"Serviço"</formula>
    </cfRule>
    <cfRule type="expression" priority="62" dxfId="83" stopIfTrue="1">
      <formula>OR(CELL("proteger",L31),$J31="",TipoOrçamento="Licitado")</formula>
    </cfRule>
  </conditionalFormatting>
  <conditionalFormatting sqref="J31">
    <cfRule type="expression" priority="63" dxfId="83" stopIfTrue="1">
      <formula>TipoOrçamento="Licitado"</formula>
    </cfRule>
  </conditionalFormatting>
  <conditionalFormatting sqref="O31">
    <cfRule type="expression" priority="44" dxfId="178" stopIfTrue="1">
      <formula>$J31=$C$2</formula>
    </cfRule>
    <cfRule type="expression" priority="45" dxfId="177" stopIfTrue="1">
      <formula>AND($J31&lt;&gt;"Serviço")</formula>
    </cfRule>
    <cfRule type="expression" priority="46" dxfId="83" stopIfTrue="1">
      <formula>CELL("proteger",O31)</formula>
    </cfRule>
  </conditionalFormatting>
  <conditionalFormatting sqref="N31">
    <cfRule type="expression" priority="47" dxfId="175" stopIfTrue="1">
      <formula>$J31=$C$2</formula>
    </cfRule>
    <cfRule type="expression" priority="48" dxfId="90" stopIfTrue="1">
      <formula>$J31&lt;&gt;"Serviço"</formula>
    </cfRule>
    <cfRule type="expression" priority="49" dxfId="83" stopIfTrue="1">
      <formula>CELL("proteger",N31)</formula>
    </cfRule>
  </conditionalFormatting>
  <conditionalFormatting sqref="K21">
    <cfRule type="expression" priority="29" dxfId="16" stopIfTrue="1">
      <formula>$J21=$C$2</formula>
    </cfRule>
    <cfRule type="expression" priority="30" dxfId="90" stopIfTrue="1">
      <formula>AND($J21&lt;&gt;"",$J21&lt;&gt;"Serviço")</formula>
    </cfRule>
    <cfRule type="expression" priority="31" dxfId="84" stopIfTrue="1">
      <formula>$J21=""</formula>
    </cfRule>
  </conditionalFormatting>
  <conditionalFormatting sqref="P21">
    <cfRule type="expression" priority="22" dxfId="190" stopIfTrue="1">
      <formula>$J21=$C$2</formula>
    </cfRule>
    <cfRule type="expression" priority="32" dxfId="189" stopIfTrue="1">
      <formula>AND($J21&lt;&gt;"Serviço")</formula>
    </cfRule>
    <cfRule type="expression" priority="33" dxfId="188" stopIfTrue="1">
      <formula>CELL("proteger",P21)</formula>
    </cfRule>
  </conditionalFormatting>
  <conditionalFormatting sqref="Q21:R21">
    <cfRule type="expression" priority="34" dxfId="178" stopIfTrue="1">
      <formula>$J21=$C$2</formula>
    </cfRule>
    <cfRule type="expression" priority="35" dxfId="177" stopIfTrue="1">
      <formula>$J21&lt;&gt;"Serviço"</formula>
    </cfRule>
    <cfRule type="expression" priority="36" dxfId="83" stopIfTrue="1">
      <formula>CELL("proteger",Q21)</formula>
    </cfRule>
  </conditionalFormatting>
  <conditionalFormatting sqref="S21:T21 Y21:Z21">
    <cfRule type="expression" priority="37" dxfId="16" stopIfTrue="1">
      <formula>$J21=$C$2</formula>
    </cfRule>
    <cfRule type="expression" priority="38" dxfId="90" stopIfTrue="1">
      <formula>$J21&lt;&gt;"Serviço"</formula>
    </cfRule>
  </conditionalFormatting>
  <conditionalFormatting sqref="L21:M21">
    <cfRule type="expression" priority="39" dxfId="178" stopIfTrue="1">
      <formula>$J21=$C$2</formula>
    </cfRule>
    <cfRule type="expression" priority="40" dxfId="177" stopIfTrue="1">
      <formula>$J21&lt;&gt;"Serviço"</formula>
    </cfRule>
    <cfRule type="expression" priority="41" dxfId="83" stopIfTrue="1">
      <formula>OR(CELL("proteger",L21),$J21="",TipoOrçamento="Licitado")</formula>
    </cfRule>
  </conditionalFormatting>
  <conditionalFormatting sqref="J21">
    <cfRule type="expression" priority="42" dxfId="83" stopIfTrue="1">
      <formula>TipoOrçamento="Licitado"</formula>
    </cfRule>
  </conditionalFormatting>
  <conditionalFormatting sqref="O21">
    <cfRule type="expression" priority="23" dxfId="178" stopIfTrue="1">
      <formula>$J21=$C$2</formula>
    </cfRule>
    <cfRule type="expression" priority="24" dxfId="177" stopIfTrue="1">
      <formula>AND($J21&lt;&gt;"Serviço")</formula>
    </cfRule>
    <cfRule type="expression" priority="25" dxfId="83" stopIfTrue="1">
      <formula>CELL("proteger",O21)</formula>
    </cfRule>
  </conditionalFormatting>
  <conditionalFormatting sqref="N21">
    <cfRule type="expression" priority="26" dxfId="175" stopIfTrue="1">
      <formula>$J21=$C$2</formula>
    </cfRule>
    <cfRule type="expression" priority="27" dxfId="90" stopIfTrue="1">
      <formula>$J21&lt;&gt;"Serviço"</formula>
    </cfRule>
    <cfRule type="expression" priority="28" dxfId="83" stopIfTrue="1">
      <formula>CELL("proteger",N21)</formula>
    </cfRule>
  </conditionalFormatting>
  <conditionalFormatting sqref="K22">
    <cfRule type="expression" priority="8" dxfId="16" stopIfTrue="1">
      <formula>$J22=$C$2</formula>
    </cfRule>
    <cfRule type="expression" priority="9" dxfId="90" stopIfTrue="1">
      <formula>AND($J22&lt;&gt;"",$J22&lt;&gt;"Serviço")</formula>
    </cfRule>
    <cfRule type="expression" priority="10" dxfId="84" stopIfTrue="1">
      <formula>$J22=""</formula>
    </cfRule>
  </conditionalFormatting>
  <conditionalFormatting sqref="P22">
    <cfRule type="expression" priority="1" dxfId="190" stopIfTrue="1">
      <formula>$J22=$C$2</formula>
    </cfRule>
    <cfRule type="expression" priority="11" dxfId="189" stopIfTrue="1">
      <formula>AND($J22&lt;&gt;"Serviço")</formula>
    </cfRule>
    <cfRule type="expression" priority="12" dxfId="188" stopIfTrue="1">
      <formula>CELL("proteger",P22)</formula>
    </cfRule>
  </conditionalFormatting>
  <conditionalFormatting sqref="Q22:R22">
    <cfRule type="expression" priority="13" dxfId="178" stopIfTrue="1">
      <formula>$J22=$C$2</formula>
    </cfRule>
    <cfRule type="expression" priority="14" dxfId="177" stopIfTrue="1">
      <formula>$J22&lt;&gt;"Serviço"</formula>
    </cfRule>
    <cfRule type="expression" priority="15" dxfId="83" stopIfTrue="1">
      <formula>CELL("proteger",Q22)</formula>
    </cfRule>
  </conditionalFormatting>
  <conditionalFormatting sqref="S22:T22 Y22:Z22">
    <cfRule type="expression" priority="16" dxfId="16" stopIfTrue="1">
      <formula>$J22=$C$2</formula>
    </cfRule>
    <cfRule type="expression" priority="17" dxfId="90" stopIfTrue="1">
      <formula>$J22&lt;&gt;"Serviço"</formula>
    </cfRule>
  </conditionalFormatting>
  <conditionalFormatting sqref="L22:M22">
    <cfRule type="expression" priority="18" dxfId="178" stopIfTrue="1">
      <formula>$J22=$C$2</formula>
    </cfRule>
    <cfRule type="expression" priority="19" dxfId="177" stopIfTrue="1">
      <formula>$J22&lt;&gt;"Serviço"</formula>
    </cfRule>
    <cfRule type="expression" priority="20" dxfId="83" stopIfTrue="1">
      <formula>OR(CELL("proteger",L22),$J22="",TipoOrçamento="Licitado")</formula>
    </cfRule>
  </conditionalFormatting>
  <conditionalFormatting sqref="J22">
    <cfRule type="expression" priority="21" dxfId="83" stopIfTrue="1">
      <formula>TipoOrçamento="Licitado"</formula>
    </cfRule>
  </conditionalFormatting>
  <conditionalFormatting sqref="O22">
    <cfRule type="expression" priority="2" dxfId="178" stopIfTrue="1">
      <formula>$J22=$C$2</formula>
    </cfRule>
    <cfRule type="expression" priority="3" dxfId="177" stopIfTrue="1">
      <formula>AND($J22&lt;&gt;"Serviço")</formula>
    </cfRule>
    <cfRule type="expression" priority="4" dxfId="83" stopIfTrue="1">
      <formula>CELL("proteger",O22)</formula>
    </cfRule>
  </conditionalFormatting>
  <conditionalFormatting sqref="N22">
    <cfRule type="expression" priority="5" dxfId="175" stopIfTrue="1">
      <formula>$J22=$C$2</formula>
    </cfRule>
    <cfRule type="expression" priority="6" dxfId="90" stopIfTrue="1">
      <formula>$J22&lt;&gt;"Serviço"</formula>
    </cfRule>
    <cfRule type="expression" priority="7" dxfId="83" stopIfTrue="1">
      <formula>CELL("proteger",N22)</formula>
    </cfRule>
  </conditionalFormatting>
  <dataValidations count="3">
    <dataValidation type="decimal" operator="greaterThan" allowBlank="1" showInputMessage="1" showErrorMessage="1" error="Apenas números decimais maiores que zero." sqref="Q11 Q13:Q31">
      <formula1>0</formula1>
    </dataValidation>
    <dataValidation errorStyle="warning" type="list" allowBlank="1" showInputMessage="1" showErrorMessage="1" error="Selecione um dos 5 BDI da lista._x000a__x000a_Caso tenha mais de 5 BDI nesta Planilha Orçamentária digite apenas valor percentual." sqref="R11 R13:R31">
      <formula1>Dados.Lista.BDI</formula1>
    </dataValidation>
    <dataValidation type="list" showInputMessage="1" showErrorMessage="1" promptTitle="Nível:" prompt="Selecione na lista o nível de itemização da Planilha." errorTitle="Erro de Entrada" error="Selecione somente os itens da lista." sqref="J11 J14:J31">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v008   micro&amp;R&amp;P</oddFooter>
  </headerFooter>
  <ignoredErrors>
    <ignoredError sqref="K43 K46" unlockedFormula="1"/>
  </ignoredError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rgb="FFFFFF00"/>
  </sheetPr>
  <dimension ref="A1:U38"/>
  <sheetViews>
    <sheetView showGridLines="0" zoomScale="85" zoomScaleNormal="85" zoomScaleSheetLayoutView="100" workbookViewId="0" topLeftCell="A1">
      <pane xSplit="5" ySplit="10" topLeftCell="F11" activePane="bottomRight" state="frozen"/>
      <selection pane="topRight" activeCell="A1" sqref="A1"/>
      <selection pane="bottomLeft" activeCell="A1" sqref="A1"/>
      <selection pane="bottomRight" activeCell="K22" sqref="K22"/>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15" width="11.7109375" style="0" customWidth="1"/>
    <col min="16" max="16" width="0.85546875" style="0" customWidth="1"/>
    <col min="21" max="21" width="11.7109375" style="0" hidden="1" customWidth="1"/>
  </cols>
  <sheetData>
    <row r="1" spans="5:15" s="4" customFormat="1" ht="17.25" customHeight="1">
      <c r="E1" s="85" t="s">
        <v>63</v>
      </c>
      <c r="F1" s="36" t="s">
        <v>64</v>
      </c>
      <c r="K1" s="18"/>
      <c r="O1"/>
    </row>
    <row r="2" spans="4:15" s="4" customFormat="1" ht="15.75">
      <c r="D2" s="6"/>
      <c r="E2" s="85"/>
      <c r="F2" s="36"/>
      <c r="K2" s="19"/>
      <c r="O2"/>
    </row>
    <row r="3" spans="11:16" s="4" customFormat="1" ht="12.75">
      <c r="K3" s="20"/>
      <c r="P3" s="20"/>
    </row>
    <row r="4" s="4" customFormat="1" ht="39.9" customHeight="1">
      <c r="P4" s="20"/>
    </row>
    <row r="5" s="4" customFormat="1" ht="39.9" customHeight="1">
      <c r="P5" s="20"/>
    </row>
    <row r="6" s="4" customFormat="1" ht="20.25" customHeight="1">
      <c r="P6" s="20"/>
    </row>
    <row r="7" spans="5:16" s="4" customFormat="1" ht="12.75" customHeight="1" hidden="1">
      <c r="E7" s="224">
        <f ca="1">OFFSET(PO!$P$12,ROW($E7)-ROW(E$12),0)</f>
        <v>0</v>
      </c>
      <c r="P7" s="20"/>
    </row>
    <row r="8" s="4" customFormat="1" ht="9.9" customHeight="1">
      <c r="P8" s="20"/>
    </row>
    <row r="9" spans="2:21" s="4" customFormat="1" ht="60" customHeight="1">
      <c r="B9" s="17"/>
      <c r="C9" s="14"/>
      <c r="D9" s="9"/>
      <c r="E9" s="146" t="s">
        <v>46</v>
      </c>
      <c r="F9" s="399" t="s">
        <v>251</v>
      </c>
      <c r="G9" s="399"/>
      <c r="H9" s="399"/>
      <c r="I9" s="399"/>
      <c r="J9" s="399"/>
      <c r="K9" s="399"/>
      <c r="L9" s="399"/>
      <c r="M9" s="399"/>
      <c r="N9" s="399"/>
      <c r="O9" s="399"/>
      <c r="U9" s="122"/>
    </row>
    <row r="10" spans="1:21" s="15" customFormat="1" ht="30" customHeight="1">
      <c r="A10" s="123" t="s">
        <v>3</v>
      </c>
      <c r="B10" s="123" t="s">
        <v>147</v>
      </c>
      <c r="C10" s="123" t="s">
        <v>142</v>
      </c>
      <c r="D10" s="124" t="s">
        <v>158</v>
      </c>
      <c r="E10" s="123" t="s">
        <v>148</v>
      </c>
      <c r="F10" s="125">
        <f aca="true" ca="1" t="shared" si="0" ref="F10:O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U10" s="125">
        <f ca="1">IF(OFFSET(U10,0,-1)="Quantidade",1,OFFSET(U10,0,-1)+1)</f>
        <v>1</v>
      </c>
    </row>
    <row r="11" spans="1:21" s="4" customFormat="1" ht="12.75" hidden="1">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f ca="1">OFFSET(PO!$P$12,ROW($E11)-ROW(F$12),0)</f>
        <v>0</v>
      </c>
      <c r="G11" s="215"/>
      <c r="H11" s="215"/>
      <c r="I11" s="215"/>
      <c r="J11" s="215"/>
      <c r="K11" s="215"/>
      <c r="L11" s="215"/>
      <c r="M11" s="215"/>
      <c r="N11" s="215"/>
      <c r="O11" s="215"/>
      <c r="U11" s="215"/>
    </row>
    <row r="12" spans="1:21" s="4" customFormat="1" ht="12.75">
      <c r="A12" s="76" t="str">
        <f>PO!J12</f>
        <v>CTEF</v>
      </c>
      <c r="B12" s="76"/>
      <c r="C12" s="76">
        <f>PO!N12</f>
        <v>0</v>
      </c>
      <c r="D12" s="76"/>
      <c r="E12" s="216"/>
      <c r="F12" s="217"/>
      <c r="G12" s="217"/>
      <c r="H12" s="217"/>
      <c r="I12" s="217"/>
      <c r="J12" s="217"/>
      <c r="K12" s="217"/>
      <c r="L12" s="217"/>
      <c r="M12" s="217"/>
      <c r="N12" s="217"/>
      <c r="O12" s="217"/>
      <c r="U12" s="217"/>
    </row>
    <row r="13" spans="1:21" s="4" customFormat="1" ht="12.75">
      <c r="A13" s="126" t="str">
        <f ca="1">OFFSET(PO!J$12,ROW(A13)-ROW($A$12),0)</f>
        <v>Meta</v>
      </c>
      <c r="B13" s="130" t="str">
        <f ca="1">IF($A13=0,"",OFFSET(PO!K$12,ROW(B13)-ROW(B$12),0))</f>
        <v>1.</v>
      </c>
      <c r="C13" s="127" t="str">
        <f ca="1">IF(OFFSET(PO!N$12,ROW(C13)-ROW(C$12),0)=0,"",OFFSET(PO!N$12,ROW(C13)-ROW(C$12),0))</f>
        <v xml:space="preserve">VEDAÇÃO EM ALVENARIA </v>
      </c>
      <c r="D13" s="129" t="str">
        <f ca="1">IF(OFFSET(PO!O$12,ROW(D13)-ROW(D$12),0)=0,"",OFFSET(PO!O$12,ROW(D13)-ROW(D$12),0))</f>
        <v/>
      </c>
      <c r="E13" s="165">
        <f ca="1">IF($A13&lt;&gt;"Serviço",0,ROUND(SUMIF($F$9:$P$9,"&lt;&gt;",$F13:$P13),15-13*PO!$X$3))</f>
        <v>0</v>
      </c>
      <c r="F13" s="398">
        <f ca="1">OFFSET(PO!$P$12,ROW($E13)-ROW(F$12),0)</f>
        <v>0</v>
      </c>
      <c r="G13" s="398"/>
      <c r="H13" s="398"/>
      <c r="I13" s="398"/>
      <c r="J13" s="398"/>
      <c r="K13" s="398"/>
      <c r="L13" s="398"/>
      <c r="M13" s="398"/>
      <c r="N13" s="398"/>
      <c r="O13" s="398"/>
      <c r="U13" s="215"/>
    </row>
    <row r="14" spans="1:21" s="4" customFormat="1" ht="12.75">
      <c r="A14" s="128" t="str">
        <f ca="1">OFFSET(PO!J$12,ROW(A14)-ROW($A$12),0)</f>
        <v>Nível 2</v>
      </c>
      <c r="B14" s="130" t="str">
        <f ca="1">IF($A14=0,"",OFFSET(PO!K$12,ROW(B14)-ROW(B$12),0))</f>
        <v>1.1.</v>
      </c>
      <c r="C14" s="127" t="str">
        <f ca="1">IF(OFFSET(PO!N$12,ROW(C14)-ROW(C$12),0)=0,"",OFFSET(PO!N$12,ROW(C14)-ROW(C$12),0))</f>
        <v>PLACA DE OBRA</v>
      </c>
      <c r="D14" s="129" t="str">
        <f ca="1">IF(OFFSET(PO!O$12,ROW(D14)-ROW(D$12),0)=0,"",OFFSET(PO!O$12,ROW(D14)-ROW(D$12),0))</f>
        <v/>
      </c>
      <c r="E14" s="165">
        <f ca="1">IF($A14&lt;&gt;"Serviço",0,ROUND(SUMIF($F$9:$P$9,"&lt;&gt;",$F14:$P14),15-13*PO!$X$3))</f>
        <v>0</v>
      </c>
      <c r="F14" s="398">
        <f ca="1">OFFSET(PO!$P$12,ROW($E14)-ROW(F$12),0)</f>
        <v>0</v>
      </c>
      <c r="G14" s="398"/>
      <c r="H14" s="398"/>
      <c r="I14" s="398"/>
      <c r="J14" s="398"/>
      <c r="K14" s="398"/>
      <c r="L14" s="398"/>
      <c r="M14" s="398"/>
      <c r="N14" s="398"/>
      <c r="O14" s="398"/>
      <c r="U14" s="215"/>
    </row>
    <row r="15" spans="1:21" s="4" customFormat="1" ht="26.4">
      <c r="A15" s="128" t="str">
        <f ca="1">OFFSET(PO!J$12,ROW(A15)-ROW($A$12),0)</f>
        <v>Serviço</v>
      </c>
      <c r="B15" s="130" t="str">
        <f ca="1">IF($A15=0,"",OFFSET(PO!K$12,ROW(B15)-ROW(B$12),0))</f>
        <v>1.1.1.</v>
      </c>
      <c r="C15" s="127" t="str">
        <f ca="1">IF(OFFSET(PO!N$12,ROW(C15)-ROW(C$12),0)=0,"",OFFSET(PO!N$12,ROW(C15)-ROW(C$12),0))</f>
        <v>Reforma de Placa de obra existente com nova impressão grafica 2,00x1,25m</v>
      </c>
      <c r="D15" s="129" t="str">
        <f ca="1">IF(OFFSET(PO!O$12,ROW(D15)-ROW(D$12),0)=0,"",OFFSET(PO!O$12,ROW(D15)-ROW(D$12),0))</f>
        <v>Unid.</v>
      </c>
      <c r="E15" s="165">
        <f ca="1">IF($A15&lt;&gt;"Serviço",0,ROUND(SUMIF($F$9:$P$9,"&lt;&gt;",$F15:$P15),15-13*PO!$X$3))</f>
        <v>1</v>
      </c>
      <c r="F15" s="398">
        <f ca="1">OFFSET(PO!$P$12,ROW($E15)-ROW(F$12),0)</f>
        <v>1</v>
      </c>
      <c r="G15" s="398"/>
      <c r="H15" s="398"/>
      <c r="I15" s="398"/>
      <c r="J15" s="398"/>
      <c r="K15" s="398"/>
      <c r="L15" s="398"/>
      <c r="M15" s="398"/>
      <c r="N15" s="398"/>
      <c r="O15" s="398"/>
      <c r="U15" s="215"/>
    </row>
    <row r="16" spans="1:21" s="4" customFormat="1" ht="12.75">
      <c r="A16" s="128" t="str">
        <f ca="1">OFFSET(PO!J$12,ROW(A16)-ROW($A$12),0)</f>
        <v>Nível 2</v>
      </c>
      <c r="B16" s="130" t="str">
        <f ca="1">IF($A16=0,"",OFFSET(PO!K$12,ROW(B16)-ROW(B$12),0))</f>
        <v>1.2.</v>
      </c>
      <c r="C16" s="127" t="str">
        <f ca="1">IF(OFFSET(PO!N$12,ROW(C16)-ROW(C$12),0)=0,"",OFFSET(PO!N$12,ROW(C16)-ROW(C$12),0))</f>
        <v>ALVENARIA E REVESTIMENTO</v>
      </c>
      <c r="D16" s="129" t="str">
        <f ca="1">IF(OFFSET(PO!O$12,ROW(D16)-ROW(D$12),0)=0,"",OFFSET(PO!O$12,ROW(D16)-ROW(D$12),0))</f>
        <v/>
      </c>
      <c r="E16" s="165">
        <f ca="1">IF($A16&lt;&gt;"Serviço",0,ROUND(SUMIF($F$9:$P$9,"&lt;&gt;",$F16:$P16),15-13*PO!$X$3))</f>
        <v>0</v>
      </c>
      <c r="F16" s="398">
        <f ca="1">OFFSET(PO!$P$12,ROW($E16)-ROW(F$12),0)</f>
        <v>0</v>
      </c>
      <c r="G16" s="398"/>
      <c r="H16" s="398"/>
      <c r="I16" s="398"/>
      <c r="J16" s="398"/>
      <c r="K16" s="398"/>
      <c r="L16" s="398"/>
      <c r="M16" s="398"/>
      <c r="N16" s="398"/>
      <c r="O16" s="398"/>
      <c r="U16" s="215"/>
    </row>
    <row r="17" spans="1:21" s="4" customFormat="1" ht="66">
      <c r="A17" s="128" t="str">
        <f ca="1">OFFSET(PO!J$12,ROW(A17)-ROW($A$12),0)</f>
        <v>Serviço</v>
      </c>
      <c r="B17" s="130" t="str">
        <f ca="1">IF($A17=0,"",OFFSET(PO!K$12,ROW(B17)-ROW(B$12),0))</f>
        <v>1.2.1.</v>
      </c>
      <c r="C17" s="127" t="str">
        <f ca="1">IF(OFFSET(PO!N$12,ROW(C17)-ROW(C$12),0)=0,"",OFFSET(PO!N$12,ROW(C17)-ROW(C$12),0))</f>
        <v>ALVENARIA DE VEDAÇÃO DE BLOCOS CERÂMICOS FURADOS NA HORIZONTAL DE 9X14X19CM (ESPESSURA 9CM) DE PAREDES COM ÁREA LÍQUIDA MAIOR OU IGUAL A 6M² COM VÃOS E ARGAMASSA DE ASSENTAMENTO COM PREPARO EM BETONEIRA. AF_06/2014</v>
      </c>
      <c r="D17" s="129" t="str">
        <f ca="1">IF(OFFSET(PO!O$12,ROW(D17)-ROW(D$12),0)=0,"",OFFSET(PO!O$12,ROW(D17)-ROW(D$12),0))</f>
        <v>M2</v>
      </c>
      <c r="E17" s="165">
        <f ca="1">IF($A17&lt;&gt;"Serviço",0,ROUND(SUMIF($F$9:$P$9,"&lt;&gt;",$F17:$P17),15-13*PO!$X$3))</f>
        <v>177.28</v>
      </c>
      <c r="F17" s="398">
        <f ca="1">OFFSET(PO!$P$12,ROW($E17)-ROW(F$12),0)</f>
        <v>177.28</v>
      </c>
      <c r="G17" s="398"/>
      <c r="H17" s="398"/>
      <c r="I17" s="398"/>
      <c r="J17" s="398"/>
      <c r="K17" s="398"/>
      <c r="L17" s="398"/>
      <c r="M17" s="398"/>
      <c r="N17" s="398"/>
      <c r="O17" s="398"/>
      <c r="U17" s="215"/>
    </row>
    <row r="18" spans="1:21" s="4" customFormat="1" ht="26.4">
      <c r="A18" s="128" t="str">
        <f ca="1">OFFSET(PO!J$12,ROW(A18)-ROW($A$12),0)</f>
        <v>Serviço</v>
      </c>
      <c r="B18" s="130" t="str">
        <f ca="1">IF($A18=0,"",OFFSET(PO!K$12,ROW(B18)-ROW(B$12),0))</f>
        <v>1.2.2.</v>
      </c>
      <c r="C18" s="127" t="str">
        <f ca="1">IF(OFFSET(PO!N$12,ROW(C18)-ROW(C$12),0)=0,"",OFFSET(PO!N$12,ROW(C18)-ROW(C$12),0))</f>
        <v>COBOGO CERAMICO (ELEMENTO VAZADO), 9X20X20CM, ASSENTADO COM ARGAMASSA TRACO 1:4 DE CIMENTO E AREIA</v>
      </c>
      <c r="D18" s="129" t="str">
        <f ca="1">IF(OFFSET(PO!O$12,ROW(D18)-ROW(D$12),0)=0,"",OFFSET(PO!O$12,ROW(D18)-ROW(D$12),0))</f>
        <v>M2</v>
      </c>
      <c r="E18" s="165">
        <f ca="1">IF($A18&lt;&gt;"Serviço",0,ROUND(SUMIF($F$9:$P$9,"&lt;&gt;",$F18:$P18),15-13*PO!$X$3))</f>
        <v>90.16</v>
      </c>
      <c r="F18" s="398">
        <f ca="1">OFFSET(PO!$P$12,ROW($E18)-ROW(F$12),0)</f>
        <v>90.16</v>
      </c>
      <c r="G18" s="398"/>
      <c r="H18" s="398"/>
      <c r="I18" s="398"/>
      <c r="J18" s="398"/>
      <c r="K18" s="398"/>
      <c r="L18" s="398"/>
      <c r="M18" s="398"/>
      <c r="N18" s="398"/>
      <c r="O18" s="398"/>
      <c r="U18" s="215"/>
    </row>
    <row r="19" spans="1:21" s="4" customFormat="1" ht="52.8">
      <c r="A19" s="128" t="str">
        <f ca="1">OFFSET(PO!J$12,ROW(A19)-ROW($A$12),0)</f>
        <v>Serviço</v>
      </c>
      <c r="B19" s="130" t="str">
        <f ca="1">IF($A19=0,"",OFFSET(PO!K$12,ROW(B19)-ROW(B$12),0))</f>
        <v>1.2.3.</v>
      </c>
      <c r="C19" s="127" t="str">
        <f ca="1">IF(OFFSET(PO!N$12,ROW(C19)-ROW(C$12),0)=0,"",OFFSET(PO!N$12,ROW(C19)-ROW(C$12),0))</f>
        <v>CHAPISCO APLICADO EM ALVENARIAS E ESTRUTURAS DE CONCRETO INTERNAS, COM COLHER DE PEDREIRO.  ARGAMASSA TRAÇO 1:3 COM PREPARO EM BETONEIRA 400L. AF_06/2014</v>
      </c>
      <c r="D19" s="129" t="str">
        <f ca="1">IF(OFFSET(PO!O$12,ROW(D19)-ROW(D$12),0)=0,"",OFFSET(PO!O$12,ROW(D19)-ROW(D$12),0))</f>
        <v>M2</v>
      </c>
      <c r="E19" s="165">
        <f ca="1">IF($A19&lt;&gt;"Serviço",0,ROUND(SUMIF($F$9:$P$9,"&lt;&gt;",$F19:$P19),15-13*PO!$X$3))</f>
        <v>354.46</v>
      </c>
      <c r="F19" s="398">
        <f ca="1">OFFSET(PO!$P$12,ROW($E19)-ROW(F$12),0)</f>
        <v>354.46</v>
      </c>
      <c r="G19" s="398"/>
      <c r="H19" s="398"/>
      <c r="I19" s="398"/>
      <c r="J19" s="398"/>
      <c r="K19" s="398"/>
      <c r="L19" s="398"/>
      <c r="M19" s="398"/>
      <c r="N19" s="398"/>
      <c r="O19" s="398"/>
      <c r="U19" s="215"/>
    </row>
    <row r="20" spans="1:21" s="4" customFormat="1" ht="66">
      <c r="A20" s="128" t="str">
        <f ca="1">OFFSET(PO!J$12,ROW(A20)-ROW($A$12),0)</f>
        <v>Serviço</v>
      </c>
      <c r="B20" s="130" t="str">
        <f ca="1">IF($A20=0,"",OFFSET(PO!K$12,ROW(B20)-ROW(B$12),0))</f>
        <v>1.2.4.</v>
      </c>
      <c r="C20" s="127" t="str">
        <f ca="1">IF(OFFSET(PO!N$12,ROW(C20)-ROW(C$12),0)=0,"",OFFSET(PO!N$12,ROW(C20)-ROW(C$12),0))</f>
        <v>MASSA ÚNICA, PARA RECEBIMENTO DE PINTURA, EM ARGAMASSA TRAÇO 1:2:8, PREPARO MECÂNICO COM BETONEIRA 400L, APLICADA MANUALMENTE EM FACES INTERNAS DE PAREDES, ESPESSURA DE 20MM, COM EXECUÇÃO DE TALISCAS. AF_06/2014</v>
      </c>
      <c r="D20" s="129" t="str">
        <f ca="1">IF(OFFSET(PO!O$12,ROW(D20)-ROW(D$12),0)=0,"",OFFSET(PO!O$12,ROW(D20)-ROW(D$12),0))</f>
        <v>M2</v>
      </c>
      <c r="E20" s="165">
        <f ca="1">IF($A20&lt;&gt;"Serviço",0,ROUND(SUMIF($F$9:$P$9,"&lt;&gt;",$F20:$P20),15-13*PO!$X$3))</f>
        <v>354.56</v>
      </c>
      <c r="F20" s="398">
        <f ca="1">OFFSET(PO!$P$12,ROW($E20)-ROW(F$12),0)</f>
        <v>354.56</v>
      </c>
      <c r="G20" s="398"/>
      <c r="H20" s="398"/>
      <c r="I20" s="398"/>
      <c r="J20" s="398"/>
      <c r="K20" s="398"/>
      <c r="L20" s="398"/>
      <c r="M20" s="398"/>
      <c r="N20" s="398"/>
      <c r="O20" s="398"/>
      <c r="U20" s="215"/>
    </row>
    <row r="21" spans="1:21" s="4" customFormat="1" ht="26.4">
      <c r="A21" s="128" t="str">
        <f ca="1">OFFSET(PO!J$12,ROW(A21)-ROW($A$12),0)</f>
        <v>Serviço</v>
      </c>
      <c r="B21" s="130" t="str">
        <f ca="1">IF($A21=0,"",OFFSET(PO!K$12,ROW(B21)-ROW(B$12),0))</f>
        <v>1.2.5.</v>
      </c>
      <c r="C21" s="127" t="str">
        <f ca="1">IF(OFFSET(PO!N$12,ROW(C21)-ROW(C$12),0)=0,"",OFFSET(PO!N$12,ROW(C21)-ROW(C$12),0))</f>
        <v>APLICAÇÃO DE FUNDO SELADOR ACRÍLICO NAS FACHADAS INTERNAS E EXTERNAS, UMA DEMÃO. AF_06/2014</v>
      </c>
      <c r="D21" s="129" t="str">
        <f ca="1">IF(OFFSET(PO!O$12,ROW(D21)-ROW(D$12),0)=0,"",OFFSET(PO!O$12,ROW(D21)-ROW(D$12),0))</f>
        <v>M2</v>
      </c>
      <c r="E21" s="165">
        <f ca="1">IF($A21&lt;&gt;"Serviço",0,ROUND(SUMIF($F$9:$P$9,"&lt;&gt;",$F21:$P21),15-13*PO!$X$3))</f>
        <v>453.67</v>
      </c>
      <c r="F21" s="398">
        <f ca="1">OFFSET(PO!$P$12,ROW($E21)-ROW(F$12),0)</f>
        <v>453.67</v>
      </c>
      <c r="G21" s="398"/>
      <c r="H21" s="398"/>
      <c r="I21" s="398"/>
      <c r="J21" s="398"/>
      <c r="K21" s="398"/>
      <c r="L21" s="398"/>
      <c r="M21" s="398"/>
      <c r="N21" s="398"/>
      <c r="O21" s="398"/>
      <c r="U21" s="215"/>
    </row>
    <row r="22" spans="1:21" s="4" customFormat="1" ht="39.6">
      <c r="A22" s="128" t="str">
        <f ca="1">OFFSET(PO!J$12,ROW(A22)-ROW($A$12),0)</f>
        <v>Serviço</v>
      </c>
      <c r="B22" s="130" t="str">
        <f ca="1">IF($A22=0,"",OFFSET(PO!K$12,ROW(B22)-ROW(B$12),0))</f>
        <v>1.2.6.</v>
      </c>
      <c r="C22" s="127" t="str">
        <f ca="1">IF(OFFSET(PO!N$12,ROW(C22)-ROW(C$12),0)=0,"",OFFSET(PO!N$12,ROW(C22)-ROW(C$12),0))</f>
        <v>APLICAÇÃO MANUAL DE PINTURA COM TINTA LÁTEX ACRÍLICA NAS FACHADAS INTERNAS E EXTERNAS, DUAS DEMÃOS. AF_06/2014</v>
      </c>
      <c r="D22" s="129" t="str">
        <f ca="1">IF(OFFSET(PO!O$12,ROW(D22)-ROW(D$12),0)=0,"",OFFSET(PO!O$12,ROW(D22)-ROW(D$12),0))</f>
        <v>M2</v>
      </c>
      <c r="E22" s="165">
        <f ca="1">IF($A22&lt;&gt;"Serviço",0,ROUND(SUMIF($F$9:$P$9,"&lt;&gt;",$F22:$P22),15-13*PO!$X$3))</f>
        <v>453.67</v>
      </c>
      <c r="F22" s="398">
        <f ca="1">OFFSET(PO!$P$12,ROW($E22)-ROW(F$12),0)</f>
        <v>453.67</v>
      </c>
      <c r="G22" s="398"/>
      <c r="H22" s="398"/>
      <c r="I22" s="398"/>
      <c r="J22" s="398"/>
      <c r="K22" s="398"/>
      <c r="L22" s="398"/>
      <c r="M22" s="398"/>
      <c r="N22" s="398"/>
      <c r="O22" s="398"/>
      <c r="U22" s="215"/>
    </row>
    <row r="23" spans="1:21" s="4" customFormat="1" ht="12.75">
      <c r="A23" s="128" t="str">
        <f ca="1">OFFSET(PO!J$12,ROW(A23)-ROW($A$12),0)</f>
        <v>Nível 2</v>
      </c>
      <c r="B23" s="130" t="str">
        <f ca="1">IF($A23=0,"",OFFSET(PO!K$12,ROW(B23)-ROW(B$12),0))</f>
        <v>1.3.</v>
      </c>
      <c r="C23" s="127" t="str">
        <f ca="1">IF(OFFSET(PO!N$12,ROW(C23)-ROW(C$12),0)=0,"",OFFSET(PO!N$12,ROW(C23)-ROW(C$12),0))</f>
        <v>VERGA E CONTRAVERGA</v>
      </c>
      <c r="D23" s="129" t="str">
        <f ca="1">IF(OFFSET(PO!O$12,ROW(D23)-ROW(D$12),0)=0,"",OFFSET(PO!O$12,ROW(D23)-ROW(D$12),0))</f>
        <v/>
      </c>
      <c r="E23" s="165">
        <f ca="1">IF($A23&lt;&gt;"Serviço",0,ROUND(SUMIF($F$9:$P$9,"&lt;&gt;",$F23:$P23),15-13*PO!$X$3))</f>
        <v>0</v>
      </c>
      <c r="F23" s="398">
        <f ca="1">OFFSET(PO!$P$12,ROW($E23)-ROW(F$12),0)</f>
        <v>0</v>
      </c>
      <c r="G23" s="398"/>
      <c r="H23" s="398"/>
      <c r="I23" s="398"/>
      <c r="J23" s="398"/>
      <c r="K23" s="398"/>
      <c r="L23" s="398"/>
      <c r="M23" s="398"/>
      <c r="N23" s="398"/>
      <c r="O23" s="398"/>
      <c r="U23" s="215"/>
    </row>
    <row r="24" spans="1:21" s="4" customFormat="1" ht="26.4">
      <c r="A24" s="128" t="str">
        <f ca="1">OFFSET(PO!J$12,ROW(A24)-ROW($A$12),0)</f>
        <v>Serviço</v>
      </c>
      <c r="B24" s="130" t="str">
        <f ca="1">IF($A24=0,"",OFFSET(PO!K$12,ROW(B24)-ROW(B$12),0))</f>
        <v>1.3.1.</v>
      </c>
      <c r="C24" s="127" t="str">
        <f ca="1">IF(OFFSET(PO!N$12,ROW(C24)-ROW(C$12),0)=0,"",OFFSET(PO!N$12,ROW(C24)-ROW(C$12),0))</f>
        <v>VERGA MOLDADA IN LOCO EM CONCRETO PARA JANELAS COM MAIS DE 1,5 M DE VÃO. AF_03/2016</v>
      </c>
      <c r="D24" s="129" t="str">
        <f ca="1">IF(OFFSET(PO!O$12,ROW(D24)-ROW(D$12),0)=0,"",OFFSET(PO!O$12,ROW(D24)-ROW(D$12),0))</f>
        <v>M</v>
      </c>
      <c r="E24" s="165">
        <f ca="1">IF($A24&lt;&gt;"Serviço",0,ROUND(SUMIF($F$9:$P$9,"&lt;&gt;",$F24:$P24),15-13*PO!$X$3))</f>
        <v>18.6</v>
      </c>
      <c r="F24" s="398">
        <f ca="1">OFFSET(PO!$P$12,ROW($E24)-ROW(F$12),0)</f>
        <v>18.6</v>
      </c>
      <c r="G24" s="398"/>
      <c r="H24" s="398"/>
      <c r="I24" s="398"/>
      <c r="J24" s="398"/>
      <c r="K24" s="398"/>
      <c r="L24" s="398"/>
      <c r="M24" s="398"/>
      <c r="N24" s="398"/>
      <c r="O24" s="398"/>
      <c r="U24" s="215"/>
    </row>
    <row r="25" spans="1:21" s="4" customFormat="1" ht="26.4">
      <c r="A25" s="128" t="str">
        <f ca="1">OFFSET(PO!J$12,ROW(A25)-ROW($A$12),0)</f>
        <v>Serviço</v>
      </c>
      <c r="B25" s="130" t="str">
        <f ca="1">IF($A25=0,"",OFFSET(PO!K$12,ROW(B25)-ROW(B$12),0))</f>
        <v>1.3.2.</v>
      </c>
      <c r="C25" s="127" t="str">
        <f ca="1">IF(OFFSET(PO!N$12,ROW(C25)-ROW(C$12),0)=0,"",OFFSET(PO!N$12,ROW(C25)-ROW(C$12),0))</f>
        <v>VERGA MOLDADA IN LOCO EM CONCRETO PARA PORTAS COM MAIS DE 1,5 M DE VÃO. AF_03/2016</v>
      </c>
      <c r="D25" s="129" t="str">
        <f ca="1">IF(OFFSET(PO!O$12,ROW(D25)-ROW(D$12),0)=0,"",OFFSET(PO!O$12,ROW(D25)-ROW(D$12),0))</f>
        <v>M</v>
      </c>
      <c r="E25" s="165">
        <f ca="1">IF($A25&lt;&gt;"Serviço",0,ROUND(SUMIF($F$9:$P$9,"&lt;&gt;",$F25:$P25),15-13*PO!$X$3))</f>
        <v>8.4</v>
      </c>
      <c r="F25" s="398">
        <f ca="1">OFFSET(PO!$P$12,ROW($E25)-ROW(F$12),0)</f>
        <v>8.4</v>
      </c>
      <c r="G25" s="398"/>
      <c r="H25" s="398"/>
      <c r="I25" s="398"/>
      <c r="J25" s="398"/>
      <c r="K25" s="398"/>
      <c r="L25" s="398"/>
      <c r="M25" s="398"/>
      <c r="N25" s="398"/>
      <c r="O25" s="398"/>
      <c r="U25" s="215"/>
    </row>
    <row r="26" spans="1:21" s="4" customFormat="1" ht="26.4">
      <c r="A26" s="128" t="str">
        <f ca="1">OFFSET(PO!J$12,ROW(A26)-ROW($A$12),0)</f>
        <v>Serviço</v>
      </c>
      <c r="B26" s="130" t="str">
        <f ca="1">IF($A26=0,"",OFFSET(PO!K$12,ROW(B26)-ROW(B$12),0))</f>
        <v>1.3.3.</v>
      </c>
      <c r="C26" s="127" t="str">
        <f ca="1">IF(OFFSET(PO!N$12,ROW(C26)-ROW(C$12),0)=0,"",OFFSET(PO!N$12,ROW(C26)-ROW(C$12),0))</f>
        <v>CONTRAVERGA MOLDADA IN LOCO EM CONCRETO PARA VÃOS DE MAIS DE 1,5 M DE COMPRIMENTO. AF_03/2016</v>
      </c>
      <c r="D26" s="129" t="str">
        <f ca="1">IF(OFFSET(PO!O$12,ROW(D26)-ROW(D$12),0)=0,"",OFFSET(PO!O$12,ROW(D26)-ROW(D$12),0))</f>
        <v>M</v>
      </c>
      <c r="E26" s="165">
        <f ca="1">IF($A26&lt;&gt;"Serviço",0,ROUND(SUMIF($F$9:$P$9,"&lt;&gt;",$F26:$P26),15-13*PO!$X$3))</f>
        <v>18.6</v>
      </c>
      <c r="F26" s="398">
        <f ca="1">OFFSET(PO!$P$12,ROW($E26)-ROW(F$12),0)</f>
        <v>18.6</v>
      </c>
      <c r="G26" s="398"/>
      <c r="H26" s="398"/>
      <c r="I26" s="398"/>
      <c r="J26" s="398"/>
      <c r="K26" s="398"/>
      <c r="L26" s="398"/>
      <c r="M26" s="398"/>
      <c r="N26" s="398"/>
      <c r="O26" s="398"/>
      <c r="U26" s="215"/>
    </row>
    <row r="27" spans="1:21" s="4" customFormat="1" ht="12.75">
      <c r="A27" s="128" t="str">
        <f ca="1">OFFSET(PO!J$12,ROW(A27)-ROW($A$12),0)</f>
        <v>Nível 2</v>
      </c>
      <c r="B27" s="130" t="str">
        <f ca="1">IF($A27=0,"",OFFSET(PO!K$12,ROW(B27)-ROW(B$12),0))</f>
        <v>1.4.</v>
      </c>
      <c r="C27" s="127" t="str">
        <f ca="1">IF(OFFSET(PO!N$12,ROW(C27)-ROW(C$12),0)=0,"",OFFSET(PO!N$12,ROW(C27)-ROW(C$12),0))</f>
        <v>ESQUADRIAS - VIDROS - PINTURA</v>
      </c>
      <c r="D27" s="129" t="str">
        <f ca="1">IF(OFFSET(PO!O$12,ROW(D27)-ROW(D$12),0)=0,"",OFFSET(PO!O$12,ROW(D27)-ROW(D$12),0))</f>
        <v/>
      </c>
      <c r="E27" s="165">
        <f ca="1">IF($A27&lt;&gt;"Serviço",0,ROUND(SUMIF($F$9:$P$9,"&lt;&gt;",$F27:$P27),15-13*PO!$X$3))</f>
        <v>0</v>
      </c>
      <c r="F27" s="398">
        <f ca="1">OFFSET(PO!$P$12,ROW($E27)-ROW(F$12),0)</f>
        <v>0</v>
      </c>
      <c r="G27" s="398"/>
      <c r="H27" s="398"/>
      <c r="I27" s="398"/>
      <c r="J27" s="398"/>
      <c r="K27" s="398"/>
      <c r="L27" s="398"/>
      <c r="M27" s="398"/>
      <c r="N27" s="398"/>
      <c r="O27" s="398"/>
      <c r="U27" s="215"/>
    </row>
    <row r="28" spans="1:21" s="4" customFormat="1" ht="12.75">
      <c r="A28" s="128" t="str">
        <f ca="1">OFFSET(PO!J$12,ROW(A28)-ROW($A$12),0)</f>
        <v>Serviço</v>
      </c>
      <c r="B28" s="130" t="str">
        <f ca="1">IF($A28=0,"",OFFSET(PO!K$12,ROW(B28)-ROW(B$12),0))</f>
        <v>1.4.1.</v>
      </c>
      <c r="C28" s="127" t="str">
        <f ca="1">IF(OFFSET(PO!N$12,ROW(C28)-ROW(C$12),0)=0,"",OFFSET(PO!N$12,ROW(C28)-ROW(C$12),0))</f>
        <v>PORTAO DE FERRO EM CHAPA GALVANIZADA PLANA 14 GSG</v>
      </c>
      <c r="D28" s="129" t="str">
        <f ca="1">IF(OFFSET(PO!O$12,ROW(D28)-ROW(D$12),0)=0,"",OFFSET(PO!O$12,ROW(D28)-ROW(D$12),0))</f>
        <v>M2</v>
      </c>
      <c r="E28" s="165">
        <f ca="1">IF($A28&lt;&gt;"Serviço",0,ROUND(SUMIF($F$9:$P$9,"&lt;&gt;",$F28:$P28),15-13*PO!$X$3))</f>
        <v>21.84</v>
      </c>
      <c r="F28" s="398">
        <f ca="1">OFFSET(PO!$P$12,ROW($E28)-ROW(F$12),0)</f>
        <v>21.84</v>
      </c>
      <c r="G28" s="398"/>
      <c r="H28" s="398"/>
      <c r="I28" s="398"/>
      <c r="J28" s="398"/>
      <c r="K28" s="398"/>
      <c r="L28" s="398"/>
      <c r="M28" s="398"/>
      <c r="N28" s="398"/>
      <c r="O28" s="398"/>
      <c r="U28" s="215"/>
    </row>
    <row r="29" spans="1:21" s="4" customFormat="1" ht="12.75">
      <c r="A29" s="128" t="str">
        <f ca="1">OFFSET(PO!J$12,ROW(A29)-ROW($A$12),0)</f>
        <v>Serviço</v>
      </c>
      <c r="B29" s="130" t="str">
        <f ca="1">IF($A29=0,"",OFFSET(PO!K$12,ROW(B29)-ROW(B$12),0))</f>
        <v>1.4.2.</v>
      </c>
      <c r="C29" s="127" t="str">
        <f ca="1">IF(OFFSET(PO!N$12,ROW(C29)-ROW(C$12),0)=0,"",OFFSET(PO!N$12,ROW(C29)-ROW(C$12),0))</f>
        <v>VIDRO LISO COMUM TRANSPARENTE, ESPESSURA 4MM</v>
      </c>
      <c r="D29" s="129" t="str">
        <f ca="1">IF(OFFSET(PO!O$12,ROW(D29)-ROW(D$12),0)=0,"",OFFSET(PO!O$12,ROW(D29)-ROW(D$12),0))</f>
        <v>M2</v>
      </c>
      <c r="E29" s="165">
        <f ca="1">IF($A29&lt;&gt;"Serviço",0,ROUND(SUMIF($F$9:$P$9,"&lt;&gt;",$F29:$P29),15-13*PO!$X$3))</f>
        <v>22.5</v>
      </c>
      <c r="F29" s="398">
        <f ca="1">OFFSET(PO!$P$12,ROW($E29)-ROW(F$12),0)</f>
        <v>22.5</v>
      </c>
      <c r="G29" s="398"/>
      <c r="H29" s="398"/>
      <c r="I29" s="398"/>
      <c r="J29" s="398"/>
      <c r="K29" s="398"/>
      <c r="L29" s="398"/>
      <c r="M29" s="398"/>
      <c r="N29" s="398"/>
      <c r="O29" s="398"/>
      <c r="U29" s="215"/>
    </row>
    <row r="30" spans="1:21" s="4" customFormat="1" ht="26.4">
      <c r="A30" s="128" t="str">
        <f ca="1">OFFSET(PO!J$12,ROW(A30)-ROW($A$12),0)</f>
        <v>Serviço</v>
      </c>
      <c r="B30" s="130" t="str">
        <f ca="1">IF($A30=0,"",OFFSET(PO!K$12,ROW(B30)-ROW(B$12),0))</f>
        <v>1.4.3.</v>
      </c>
      <c r="C30" s="127" t="str">
        <f ca="1">IF(OFFSET(PO!N$12,ROW(C30)-ROW(C$12),0)=0,"",OFFSET(PO!N$12,ROW(C30)-ROW(C$12),0))</f>
        <v>PINTURA ESMALTE ALTO BRILHO, DUAS DEMAOS, SOBRE SUPERFICIE METALICA</v>
      </c>
      <c r="D30" s="129" t="str">
        <f ca="1">IF(OFFSET(PO!O$12,ROW(D30)-ROW(D$12),0)=0,"",OFFSET(PO!O$12,ROW(D30)-ROW(D$12),0))</f>
        <v>M2</v>
      </c>
      <c r="E30" s="165">
        <f ca="1">IF($A30&lt;&gt;"Serviço",0,ROUND(SUMIF($F$9:$P$9,"&lt;&gt;",$F30:$P30),15-13*PO!$X$3))</f>
        <v>88.68</v>
      </c>
      <c r="F30" s="398">
        <f ca="1">OFFSET(PO!$P$12,ROW($E30)-ROW(F$12),0)</f>
        <v>88.68</v>
      </c>
      <c r="G30" s="398"/>
      <c r="H30" s="398"/>
      <c r="I30" s="398"/>
      <c r="J30" s="398"/>
      <c r="K30" s="398"/>
      <c r="L30" s="398"/>
      <c r="M30" s="398"/>
      <c r="N30" s="398"/>
      <c r="O30" s="398"/>
      <c r="U30" s="215"/>
    </row>
    <row r="31" spans="1:21" s="4" customFormat="1" ht="12.75">
      <c r="A31" s="128" t="str">
        <f ca="1">OFFSET(PO!J$12,ROW(A31)-ROW($A$12),0)</f>
        <v>Serviço</v>
      </c>
      <c r="B31" s="130" t="str">
        <f ca="1">IF($A31=0,"",OFFSET(PO!K$12,ROW(B31)-ROW(B$12),0))</f>
        <v>1.4.4.</v>
      </c>
      <c r="C31" s="127" t="str">
        <f ca="1">IF(OFFSET(PO!N$12,ROW(C31)-ROW(C$12),0)=0,"",OFFSET(PO!N$12,ROW(C31)-ROW(C$12),0))</f>
        <v>JANELA BASCULANTE</v>
      </c>
      <c r="D31" s="129" t="str">
        <f ca="1">IF(OFFSET(PO!O$12,ROW(D31)-ROW(D$12),0)=0,"",OFFSET(PO!O$12,ROW(D31)-ROW(D$12),0))</f>
        <v>M²</v>
      </c>
      <c r="E31" s="165">
        <f ca="1">IF($A31&lt;&gt;"Serviço",0,ROUND(SUMIF($F$9:$P$9,"&lt;&gt;",$F31:$P31),15-13*PO!$X$3))</f>
        <v>22.5</v>
      </c>
      <c r="F31" s="398">
        <f ca="1">OFFSET(PO!$P$12,ROW($E31)-ROW(F$12),0)</f>
        <v>22.5</v>
      </c>
      <c r="G31" s="398"/>
      <c r="H31" s="398"/>
      <c r="I31" s="398"/>
      <c r="J31" s="398"/>
      <c r="K31" s="398"/>
      <c r="L31" s="398"/>
      <c r="M31" s="398"/>
      <c r="N31" s="398"/>
      <c r="O31" s="398"/>
      <c r="U31" s="215"/>
    </row>
    <row r="32" spans="1:21" s="4" customFormat="1" ht="12.75">
      <c r="A32" s="83"/>
      <c r="B32" s="83"/>
      <c r="C32" s="83"/>
      <c r="D32" s="83"/>
      <c r="E32" s="83"/>
      <c r="F32" s="83"/>
      <c r="G32" s="83"/>
      <c r="H32" s="83"/>
      <c r="I32" s="83"/>
      <c r="J32" s="83"/>
      <c r="K32" s="83"/>
      <c r="L32" s="83"/>
      <c r="M32" s="83"/>
      <c r="N32" s="83"/>
      <c r="O32" s="83"/>
      <c r="U32" s="83"/>
    </row>
    <row r="33" spans="2:21" s="4" customFormat="1" ht="12.75">
      <c r="B33" s="9"/>
      <c r="C33" s="14"/>
      <c r="D33" s="9"/>
      <c r="E33" s="16"/>
      <c r="F33" s="16"/>
      <c r="G33" s="16"/>
      <c r="H33" s="16"/>
      <c r="I33" s="16"/>
      <c r="J33" s="16"/>
      <c r="K33" s="16"/>
      <c r="L33" s="16"/>
      <c r="M33" s="16"/>
      <c r="N33" s="16"/>
      <c r="O33" s="16"/>
      <c r="U33" s="16"/>
    </row>
    <row r="34" spans="2:21" s="4" customFormat="1" ht="12.75">
      <c r="B34" s="370" t="str">
        <f>PO!$K$43</f>
        <v>RIQUEZA / SC</v>
      </c>
      <c r="C34" s="370"/>
      <c r="D34" s="9"/>
      <c r="E34" s="16"/>
      <c r="F34" s="16"/>
      <c r="G34" s="16"/>
      <c r="H34" s="16"/>
      <c r="I34" s="16"/>
      <c r="J34" s="16"/>
      <c r="K34" s="16"/>
      <c r="L34" s="16"/>
      <c r="M34" s="16"/>
      <c r="N34" s="16"/>
      <c r="O34" s="16"/>
      <c r="U34" s="16"/>
    </row>
    <row r="35" spans="2:21" s="4" customFormat="1" ht="12.75">
      <c r="B35" s="113" t="s">
        <v>120</v>
      </c>
      <c r="C35" s="14"/>
      <c r="D35" s="9"/>
      <c r="E35" s="16"/>
      <c r="F35" s="16"/>
      <c r="G35" s="16"/>
      <c r="H35" s="16"/>
      <c r="I35" s="16"/>
      <c r="J35" s="16"/>
      <c r="K35" s="16"/>
      <c r="L35" s="16"/>
      <c r="M35" s="16"/>
      <c r="N35" s="16"/>
      <c r="O35" s="16"/>
      <c r="U35" s="16"/>
    </row>
    <row r="36" spans="2:21" s="4" customFormat="1" ht="12.75">
      <c r="B36" s="14"/>
      <c r="C36" s="14"/>
      <c r="D36" s="9"/>
      <c r="E36" s="16"/>
      <c r="F36" s="16"/>
      <c r="G36" s="16"/>
      <c r="H36" s="16"/>
      <c r="I36" s="16"/>
      <c r="J36" s="16"/>
      <c r="K36" s="16"/>
      <c r="L36" s="16"/>
      <c r="M36" s="16"/>
      <c r="N36" s="16"/>
      <c r="O36" s="16"/>
      <c r="U36" s="16"/>
    </row>
    <row r="37" spans="2:21" s="4" customFormat="1" ht="12.75">
      <c r="B37" s="371">
        <f ca="1">PO!$K$46</f>
        <v>43048</v>
      </c>
      <c r="C37" s="371"/>
      <c r="D37" s="9"/>
      <c r="E37" s="16"/>
      <c r="F37" s="16"/>
      <c r="G37" s="16"/>
      <c r="H37" s="16"/>
      <c r="I37" s="16"/>
      <c r="J37" s="16"/>
      <c r="K37" s="16"/>
      <c r="L37" s="16"/>
      <c r="M37" s="16"/>
      <c r="N37" s="16"/>
      <c r="O37" s="16"/>
      <c r="U37" s="16"/>
    </row>
    <row r="38" spans="2:21" s="4" customFormat="1" ht="12.75">
      <c r="B38" s="142" t="s">
        <v>121</v>
      </c>
      <c r="C38" s="143"/>
      <c r="D38" s="9"/>
      <c r="E38" s="16"/>
      <c r="F38" s="16"/>
      <c r="G38" s="16"/>
      <c r="H38" s="16"/>
      <c r="I38" s="16"/>
      <c r="J38" s="16"/>
      <c r="K38" s="16"/>
      <c r="L38" s="16"/>
      <c r="M38" s="16"/>
      <c r="N38" s="16"/>
      <c r="O38" s="16"/>
      <c r="U38" s="16"/>
    </row>
  </sheetData>
  <sheetProtection algorithmName="SHA-512" hashValue="cvkbNM4TlBd6hCUYjCQLSnklY/fXpJBXpHs/IEQ01BKCwAX0RzoAaVJytO5cd8eG9IOIZJn/+ou9A3iavzygBA==" saltValue="iJFvXd1I/z8psPc54zymhg==" spinCount="100000" sheet="1" objects="1" scenarios="1"/>
  <mergeCells count="2">
    <mergeCell ref="B34:C34"/>
    <mergeCell ref="B37:C37"/>
  </mergeCells>
  <conditionalFormatting sqref="D11:E11 D13:E13 D16:E16 D18:E19 D23:E30">
    <cfRule type="expression" priority="794" dxfId="85" stopIfTrue="1">
      <formula>$A11="Meta"</formula>
    </cfRule>
    <cfRule type="expression" priority="795" dxfId="94" stopIfTrue="1">
      <formula>$A11&lt;&gt;"Serviço"</formula>
    </cfRule>
  </conditionalFormatting>
  <conditionalFormatting sqref="C11 C13 C16 C18:C19 C23:C30">
    <cfRule type="expression" priority="796" dxfId="91" stopIfTrue="1">
      <formula>$A11="Meta"</formula>
    </cfRule>
    <cfRule type="expression" priority="797" dxfId="90" stopIfTrue="1">
      <formula>$A11&lt;&gt;"Serviço"</formula>
    </cfRule>
  </conditionalFormatting>
  <conditionalFormatting sqref="A11:B11 A13:B13 A16:B16 A18:B19 A23:B30">
    <cfRule type="expression" priority="798" dxfId="91" stopIfTrue="1">
      <formula>$A11="Meta"</formula>
    </cfRule>
    <cfRule type="expression" priority="799" dxfId="90" stopIfTrue="1">
      <formula>LEFT($A11,5)="Nível"</formula>
    </cfRule>
    <cfRule type="expression" priority="800" dxfId="84" stopIfTrue="1">
      <formula>$A11=0</formula>
    </cfRule>
  </conditionalFormatting>
  <conditionalFormatting sqref="U11 U13 F13:O13 U15:U20 F15:O20 F23:O30 U23:U30">
    <cfRule type="expression" priority="810" dxfId="85" stopIfTrue="1">
      <formula>$A11="Meta"</formula>
    </cfRule>
    <cfRule type="expression" priority="811" dxfId="84" stopIfTrue="1">
      <formula>OR(F$9=0,$A11&lt;&gt;"Serviço")</formula>
    </cfRule>
    <cfRule type="expression" priority="812" dxfId="83" stopIfTrue="1">
      <formula>TipoOrçamento="Licitado"</formula>
    </cfRule>
  </conditionalFormatting>
  <conditionalFormatting sqref="U9">
    <cfRule type="expression" priority="232" dxfId="84" stopIfTrue="1">
      <formula>AND(T9=0,U9=0)</formula>
    </cfRule>
    <cfRule type="expression" priority="233" dxfId="83" stopIfTrue="1">
      <formula>TipoOrçamento="Licitado"</formula>
    </cfRule>
  </conditionalFormatting>
  <conditionalFormatting sqref="F11:O11">
    <cfRule type="expression" priority="192" dxfId="85" stopIfTrue="1">
      <formula>$A11="Meta"</formula>
    </cfRule>
    <cfRule type="expression" priority="193" dxfId="84" stopIfTrue="1">
      <formula>OR(F$9=0,$A11&lt;&gt;"Serviço")</formula>
    </cfRule>
    <cfRule type="expression" priority="194" dxfId="83" stopIfTrue="1">
      <formula>TipoOrçamento="Licitado"</formula>
    </cfRule>
  </conditionalFormatting>
  <conditionalFormatting sqref="F9:O9">
    <cfRule type="expression" priority="190" dxfId="84" stopIfTrue="1">
      <formula>AND(E9=0,F9=0)</formula>
    </cfRule>
    <cfRule type="expression" priority="191" dxfId="83" stopIfTrue="1">
      <formula>TipoOrçamento="Licitado"</formula>
    </cfRule>
  </conditionalFormatting>
  <conditionalFormatting sqref="D14:E14">
    <cfRule type="expression" priority="95" dxfId="85" stopIfTrue="1">
      <formula>$A14="Meta"</formula>
    </cfRule>
    <cfRule type="expression" priority="96" dxfId="94" stopIfTrue="1">
      <formula>$A14&lt;&gt;"Serviço"</formula>
    </cfRule>
  </conditionalFormatting>
  <conditionalFormatting sqref="C14">
    <cfRule type="expression" priority="97" dxfId="91" stopIfTrue="1">
      <formula>$A14="Meta"</formula>
    </cfRule>
    <cfRule type="expression" priority="98" dxfId="90" stopIfTrue="1">
      <formula>$A14&lt;&gt;"Serviço"</formula>
    </cfRule>
  </conditionalFormatting>
  <conditionalFormatting sqref="A14:B14">
    <cfRule type="expression" priority="99" dxfId="91" stopIfTrue="1">
      <formula>$A14="Meta"</formula>
    </cfRule>
    <cfRule type="expression" priority="100" dxfId="90" stopIfTrue="1">
      <formula>LEFT($A14,5)="Nível"</formula>
    </cfRule>
    <cfRule type="expression" priority="101" dxfId="84" stopIfTrue="1">
      <formula>$A14=0</formula>
    </cfRule>
  </conditionalFormatting>
  <conditionalFormatting sqref="U14">
    <cfRule type="expression" priority="102" dxfId="85" stopIfTrue="1">
      <formula>$A14="Meta"</formula>
    </cfRule>
    <cfRule type="expression" priority="103" dxfId="84" stopIfTrue="1">
      <formula>OR(U$9=0,$A14&lt;&gt;"Serviço")</formula>
    </cfRule>
    <cfRule type="expression" priority="104" dxfId="83" stopIfTrue="1">
      <formula>TipoOrçamento="Licitado"</formula>
    </cfRule>
  </conditionalFormatting>
  <conditionalFormatting sqref="F14:O14">
    <cfRule type="expression" priority="92" dxfId="85" stopIfTrue="1">
      <formula>$A14="Meta"</formula>
    </cfRule>
    <cfRule type="expression" priority="93" dxfId="84" stopIfTrue="1">
      <formula>OR(F$9=0,$A14&lt;&gt;"Serviço")</formula>
    </cfRule>
    <cfRule type="expression" priority="94" dxfId="83" stopIfTrue="1">
      <formula>TipoOrçamento="Licitado"</formula>
    </cfRule>
  </conditionalFormatting>
  <conditionalFormatting sqref="D17:E17">
    <cfRule type="expression" priority="69" dxfId="85" stopIfTrue="1">
      <formula>$A17="Meta"</formula>
    </cfRule>
    <cfRule type="expression" priority="70" dxfId="94" stopIfTrue="1">
      <formula>$A17&lt;&gt;"Serviço"</formula>
    </cfRule>
  </conditionalFormatting>
  <conditionalFormatting sqref="C17">
    <cfRule type="expression" priority="71" dxfId="91" stopIfTrue="1">
      <formula>$A17="Meta"</formula>
    </cfRule>
    <cfRule type="expression" priority="72" dxfId="90" stopIfTrue="1">
      <formula>$A17&lt;&gt;"Serviço"</formula>
    </cfRule>
  </conditionalFormatting>
  <conditionalFormatting sqref="A17:B17">
    <cfRule type="expression" priority="73" dxfId="91" stopIfTrue="1">
      <formula>$A17="Meta"</formula>
    </cfRule>
    <cfRule type="expression" priority="74" dxfId="90" stopIfTrue="1">
      <formula>LEFT($A17,5)="Nível"</formula>
    </cfRule>
    <cfRule type="expression" priority="75" dxfId="84" stopIfTrue="1">
      <formula>$A17=0</formula>
    </cfRule>
  </conditionalFormatting>
  <conditionalFormatting sqref="D20:E20">
    <cfRule type="expression" priority="56" dxfId="85" stopIfTrue="1">
      <formula>$A20="Meta"</formula>
    </cfRule>
    <cfRule type="expression" priority="57" dxfId="94" stopIfTrue="1">
      <formula>$A20&lt;&gt;"Serviço"</formula>
    </cfRule>
  </conditionalFormatting>
  <conditionalFormatting sqref="C20">
    <cfRule type="expression" priority="58" dxfId="91" stopIfTrue="1">
      <formula>$A20="Meta"</formula>
    </cfRule>
    <cfRule type="expression" priority="59" dxfId="90" stopIfTrue="1">
      <formula>$A20&lt;&gt;"Serviço"</formula>
    </cfRule>
  </conditionalFormatting>
  <conditionalFormatting sqref="A20:B20">
    <cfRule type="expression" priority="60" dxfId="91" stopIfTrue="1">
      <formula>$A20="Meta"</formula>
    </cfRule>
    <cfRule type="expression" priority="61" dxfId="90" stopIfTrue="1">
      <formula>LEFT($A20,5)="Nível"</formula>
    </cfRule>
    <cfRule type="expression" priority="62" dxfId="84" stopIfTrue="1">
      <formula>$A20=0</formula>
    </cfRule>
  </conditionalFormatting>
  <conditionalFormatting sqref="D15:E15">
    <cfRule type="expression" priority="43" dxfId="85" stopIfTrue="1">
      <formula>$A15="Meta"</formula>
    </cfRule>
    <cfRule type="expression" priority="44" dxfId="94" stopIfTrue="1">
      <formula>$A15&lt;&gt;"Serviço"</formula>
    </cfRule>
  </conditionalFormatting>
  <conditionalFormatting sqref="C15">
    <cfRule type="expression" priority="45" dxfId="91" stopIfTrue="1">
      <formula>$A15="Meta"</formula>
    </cfRule>
    <cfRule type="expression" priority="46" dxfId="90" stopIfTrue="1">
      <formula>$A15&lt;&gt;"Serviço"</formula>
    </cfRule>
  </conditionalFormatting>
  <conditionalFormatting sqref="A15:B15">
    <cfRule type="expression" priority="47" dxfId="91" stopIfTrue="1">
      <formula>$A15="Meta"</formula>
    </cfRule>
    <cfRule type="expression" priority="48" dxfId="90" stopIfTrue="1">
      <formula>LEFT($A15,5)="Nível"</formula>
    </cfRule>
    <cfRule type="expression" priority="49" dxfId="84" stopIfTrue="1">
      <formula>$A15=0</formula>
    </cfRule>
  </conditionalFormatting>
  <conditionalFormatting sqref="D31:E31">
    <cfRule type="expression" priority="30" dxfId="85" stopIfTrue="1">
      <formula>$A31="Meta"</formula>
    </cfRule>
    <cfRule type="expression" priority="31" dxfId="94" stopIfTrue="1">
      <formula>$A31&lt;&gt;"Serviço"</formula>
    </cfRule>
  </conditionalFormatting>
  <conditionalFormatting sqref="C31">
    <cfRule type="expression" priority="32" dxfId="91" stopIfTrue="1">
      <formula>$A31="Meta"</formula>
    </cfRule>
    <cfRule type="expression" priority="33" dxfId="90" stopIfTrue="1">
      <formula>$A31&lt;&gt;"Serviço"</formula>
    </cfRule>
  </conditionalFormatting>
  <conditionalFormatting sqref="A31:B31">
    <cfRule type="expression" priority="34" dxfId="91" stopIfTrue="1">
      <formula>$A31="Meta"</formula>
    </cfRule>
    <cfRule type="expression" priority="35" dxfId="90" stopIfTrue="1">
      <formula>LEFT($A31,5)="Nível"</formula>
    </cfRule>
    <cfRule type="expression" priority="36" dxfId="84" stopIfTrue="1">
      <formula>$A31=0</formula>
    </cfRule>
  </conditionalFormatting>
  <conditionalFormatting sqref="U31">
    <cfRule type="expression" priority="37" dxfId="85" stopIfTrue="1">
      <formula>$A31="Meta"</formula>
    </cfRule>
    <cfRule type="expression" priority="38" dxfId="84" stopIfTrue="1">
      <formula>OR(U$9=0,$A31&lt;&gt;"Serviço")</formula>
    </cfRule>
    <cfRule type="expression" priority="39" dxfId="83" stopIfTrue="1">
      <formula>TipoOrçamento="Licitado"</formula>
    </cfRule>
  </conditionalFormatting>
  <conditionalFormatting sqref="F31:O31">
    <cfRule type="expression" priority="27" dxfId="85" stopIfTrue="1">
      <formula>$A31="Meta"</formula>
    </cfRule>
    <cfRule type="expression" priority="28" dxfId="84" stopIfTrue="1">
      <formula>OR(F$9=0,$A31&lt;&gt;"Serviço")</formula>
    </cfRule>
    <cfRule type="expression" priority="29" dxfId="83" stopIfTrue="1">
      <formula>TipoOrçamento="Licitado"</formula>
    </cfRule>
  </conditionalFormatting>
  <conditionalFormatting sqref="D21:E21">
    <cfRule type="expression" priority="17" dxfId="85" stopIfTrue="1">
      <formula>$A21="Meta"</formula>
    </cfRule>
    <cfRule type="expression" priority="18" dxfId="94" stopIfTrue="1">
      <formula>$A21&lt;&gt;"Serviço"</formula>
    </cfRule>
  </conditionalFormatting>
  <conditionalFormatting sqref="C21">
    <cfRule type="expression" priority="19" dxfId="91" stopIfTrue="1">
      <formula>$A21="Meta"</formula>
    </cfRule>
    <cfRule type="expression" priority="20" dxfId="90" stopIfTrue="1">
      <formula>$A21&lt;&gt;"Serviço"</formula>
    </cfRule>
  </conditionalFormatting>
  <conditionalFormatting sqref="A21:B21">
    <cfRule type="expression" priority="21" dxfId="91" stopIfTrue="1">
      <formula>$A21="Meta"</formula>
    </cfRule>
    <cfRule type="expression" priority="22" dxfId="90" stopIfTrue="1">
      <formula>LEFT($A21,5)="Nível"</formula>
    </cfRule>
    <cfRule type="expression" priority="23" dxfId="84" stopIfTrue="1">
      <formula>$A21=0</formula>
    </cfRule>
  </conditionalFormatting>
  <conditionalFormatting sqref="U21">
    <cfRule type="expression" priority="24" dxfId="85" stopIfTrue="1">
      <formula>$A21="Meta"</formula>
    </cfRule>
    <cfRule type="expression" priority="25" dxfId="84" stopIfTrue="1">
      <formula>OR(U$9=0,$A21&lt;&gt;"Serviço")</formula>
    </cfRule>
    <cfRule type="expression" priority="26" dxfId="83" stopIfTrue="1">
      <formula>TipoOrçamento="Licitado"</formula>
    </cfRule>
  </conditionalFormatting>
  <conditionalFormatting sqref="F21:O21">
    <cfRule type="expression" priority="14" dxfId="85" stopIfTrue="1">
      <formula>$A21="Meta"</formula>
    </cfRule>
    <cfRule type="expression" priority="15" dxfId="84" stopIfTrue="1">
      <formula>OR(F$9=0,$A21&lt;&gt;"Serviço")</formula>
    </cfRule>
    <cfRule type="expression" priority="16" dxfId="83" stopIfTrue="1">
      <formula>TipoOrçamento="Licitado"</formula>
    </cfRule>
  </conditionalFormatting>
  <conditionalFormatting sqref="D22:E22">
    <cfRule type="expression" priority="4" dxfId="85" stopIfTrue="1">
      <formula>$A22="Meta"</formula>
    </cfRule>
    <cfRule type="expression" priority="5" dxfId="94" stopIfTrue="1">
      <formula>$A22&lt;&gt;"Serviço"</formula>
    </cfRule>
  </conditionalFormatting>
  <conditionalFormatting sqref="C22">
    <cfRule type="expression" priority="6" dxfId="91" stopIfTrue="1">
      <formula>$A22="Meta"</formula>
    </cfRule>
    <cfRule type="expression" priority="7" dxfId="90" stopIfTrue="1">
      <formula>$A22&lt;&gt;"Serviço"</formula>
    </cfRule>
  </conditionalFormatting>
  <conditionalFormatting sqref="A22:B22">
    <cfRule type="expression" priority="8" dxfId="91" stopIfTrue="1">
      <formula>$A22="Meta"</formula>
    </cfRule>
    <cfRule type="expression" priority="9" dxfId="90" stopIfTrue="1">
      <formula>LEFT($A22,5)="Nível"</formula>
    </cfRule>
    <cfRule type="expression" priority="10" dxfId="84" stopIfTrue="1">
      <formula>$A22=0</formula>
    </cfRule>
  </conditionalFormatting>
  <conditionalFormatting sqref="U22">
    <cfRule type="expression" priority="11" dxfId="85" stopIfTrue="1">
      <formula>$A22="Meta"</formula>
    </cfRule>
    <cfRule type="expression" priority="12" dxfId="84" stopIfTrue="1">
      <formula>OR(U$9=0,$A22&lt;&gt;"Serviço")</formula>
    </cfRule>
    <cfRule type="expression" priority="13" dxfId="83" stopIfTrue="1">
      <formula>TipoOrçamento="Licitado"</formula>
    </cfRule>
  </conditionalFormatting>
  <conditionalFormatting sqref="F22:O22">
    <cfRule type="expression" priority="1" dxfId="85" stopIfTrue="1">
      <formula>$A22="Meta"</formula>
    </cfRule>
    <cfRule type="expression" priority="2" dxfId="84" stopIfTrue="1">
      <formula>OR(F$9=0,$A22&lt;&gt;"Serviço")</formula>
    </cfRule>
    <cfRule type="expression" priority="3" dxfId="83" stopIfTrue="1">
      <formula>TipoOrçamento="Licitado"</formula>
    </cfRule>
  </conditionalFormatting>
  <dataValidations count="1">
    <dataValidation type="decimal" operator="greaterThanOrEqual" allowBlank="1" showInputMessage="1" showErrorMessage="1" error="Digite apenas números._x000a__x000a_preferencialmente com 02 casas de precisão." sqref="U11 F11:O11 U14:U31 F14:O31">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37 B34" unlockedFormula="1"/>
    <ignoredError sqref="A12 C12" formula="1"/>
  </ignoredErrors>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tabColor rgb="FFFFFF00"/>
    <outlinePr summaryBelow="0"/>
  </sheetPr>
  <dimension ref="A1:AC43"/>
  <sheetViews>
    <sheetView showGridLines="0" zoomScaleSheetLayoutView="100" workbookViewId="0" topLeftCell="L7">
      <selection activeCell="R25" sqref="R25"/>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23" width="15.7109375" style="42" customWidth="1"/>
    <col min="24" max="24" width="0.85546875" style="46" customWidth="1"/>
    <col min="25" max="28" width="9.140625" style="42" customWidth="1"/>
    <col min="29" max="29" width="15.7109375" style="42" hidden="1" customWidth="1"/>
    <col min="30" max="16384" width="9.140625" style="42" customWidth="1"/>
  </cols>
  <sheetData>
    <row r="1" spans="1:29" s="41" customFormat="1" ht="12.9"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c r="A3" s="1"/>
      <c r="B3" s="1"/>
      <c r="C3" s="1"/>
      <c r="D3" s="1"/>
      <c r="E3" s="1"/>
      <c r="F3" s="1"/>
      <c r="G3" s="1"/>
      <c r="H3" s="1"/>
      <c r="I3" s="1"/>
      <c r="J3" s="1"/>
      <c r="K3" s="1"/>
      <c r="L3" s="1"/>
      <c r="M3" s="1"/>
      <c r="N3" s="1"/>
      <c r="O3" s="1"/>
      <c r="P3" s="1"/>
      <c r="Q3" s="1"/>
      <c r="R3" s="1"/>
      <c r="S3" s="82"/>
      <c r="T3" s="1"/>
      <c r="U3" s="1"/>
      <c r="V3" s="1"/>
      <c r="W3" s="1"/>
      <c r="X3" s="1"/>
      <c r="AC3" s="1"/>
    </row>
    <row r="4" spans="1:29" s="41" customFormat="1" ht="24.9" customHeight="1">
      <c r="A4" s="1"/>
      <c r="B4" s="1"/>
      <c r="C4" s="1"/>
      <c r="D4" s="1"/>
      <c r="E4" s="1"/>
      <c r="F4" s="1"/>
      <c r="G4" s="1"/>
      <c r="H4" s="1"/>
      <c r="I4" s="1"/>
      <c r="J4" s="1"/>
      <c r="K4" s="1"/>
      <c r="L4" s="1"/>
      <c r="M4" s="1"/>
      <c r="N4" s="1"/>
      <c r="O4" s="1"/>
      <c r="P4" s="1"/>
      <c r="Q4" s="1"/>
      <c r="R4" s="1"/>
      <c r="S4" s="1"/>
      <c r="T4" s="1"/>
      <c r="U4" s="1"/>
      <c r="V4" s="1"/>
      <c r="W4" s="1"/>
      <c r="X4" s="1"/>
      <c r="AC4" s="1"/>
    </row>
    <row r="5" spans="1:29" s="41" customFormat="1" ht="24.9" customHeight="1">
      <c r="A5" s="1"/>
      <c r="B5" s="1"/>
      <c r="C5" s="1"/>
      <c r="D5" s="1"/>
      <c r="E5" s="1"/>
      <c r="F5" s="1"/>
      <c r="G5" s="1"/>
      <c r="H5" s="1"/>
      <c r="I5" s="1"/>
      <c r="J5" s="1"/>
      <c r="K5" s="1"/>
      <c r="L5" s="1"/>
      <c r="M5" s="1"/>
      <c r="N5" s="1"/>
      <c r="O5" s="1"/>
      <c r="P5" s="1"/>
      <c r="Q5" s="1"/>
      <c r="R5" s="1"/>
      <c r="S5" s="1"/>
      <c r="T5" s="1"/>
      <c r="U5" s="1"/>
      <c r="V5" s="1"/>
      <c r="W5" s="1"/>
      <c r="X5" s="1"/>
      <c r="AC5" s="1"/>
    </row>
    <row r="6" spans="1:29" s="41" customFormat="1" ht="24.9" customHeight="1">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c r="A8" s="177" t="s">
        <v>176</v>
      </c>
      <c r="B8" s="1"/>
      <c r="C8" s="1"/>
      <c r="D8" s="1"/>
      <c r="E8" s="1"/>
      <c r="F8" s="1"/>
      <c r="G8" s="1"/>
      <c r="H8" s="1"/>
      <c r="I8" s="1"/>
      <c r="J8" s="1"/>
      <c r="K8" s="1"/>
      <c r="L8" s="372" t="str">
        <f ca="1">IF(MAX($A$14:$A$34)&lt;&gt;MAX(PO!$V$12:$V$32),"ERRO: CRONOGRAMA DESATUALIZADO",IF(OR(COUNTIF($O$16:$X$16,"&gt;1")&gt;0,OFFSET($X$17,0,-1)&lt;&gt;$N$14),"ERRO: CRONOGRAMA NÃO FECHA EM 100%",""))</f>
        <v>ERRO: CRONOGRAMA NÃO FECHA EM 100%</v>
      </c>
      <c r="M8" s="372"/>
      <c r="N8" s="160" t="str">
        <f>IF(TipoOrçamento="REPROGRAMADOAC","Qtde de Medições realizadas","")</f>
        <v/>
      </c>
      <c r="O8" s="178"/>
      <c r="P8" s="179"/>
      <c r="Q8" s="1"/>
      <c r="R8" s="1"/>
      <c r="S8" s="1"/>
      <c r="T8" s="1"/>
      <c r="U8" s="1"/>
      <c r="V8" s="1"/>
      <c r="W8" s="1"/>
      <c r="X8" s="1"/>
      <c r="AC8" s="1"/>
    </row>
    <row r="9" spans="1:29" s="41" customFormat="1" ht="14.1" customHeight="1">
      <c r="A9" s="166">
        <v>2</v>
      </c>
      <c r="B9" s="1"/>
      <c r="C9" s="1"/>
      <c r="D9" s="1"/>
      <c r="E9" s="1"/>
      <c r="F9" s="1"/>
      <c r="G9" s="1"/>
      <c r="H9" s="1"/>
      <c r="I9" s="1"/>
      <c r="J9" s="1"/>
      <c r="K9" s="1"/>
      <c r="L9" s="82"/>
      <c r="M9" s="82"/>
      <c r="N9" s="159">
        <v>1</v>
      </c>
      <c r="O9" s="149">
        <f>IF(AND(TipoOrçamento="REPROGRAMADOAC",$N$9&gt;0),$N$9-1,0)</f>
        <v>0</v>
      </c>
      <c r="P9" s="148">
        <f aca="true" ca="1" t="shared" si="0" ref="P9:W9">OFFSET(P9,0,-1)+1</f>
        <v>1</v>
      </c>
      <c r="Q9" s="148">
        <f ca="1" t="shared" si="0"/>
        <v>2</v>
      </c>
      <c r="R9" s="148">
        <f ca="1" t="shared" si="0"/>
        <v>3</v>
      </c>
      <c r="S9" s="148">
        <f ca="1" t="shared" si="0"/>
        <v>4</v>
      </c>
      <c r="T9" s="148">
        <f ca="1" t="shared" si="0"/>
        <v>5</v>
      </c>
      <c r="U9" s="148">
        <f ca="1" t="shared" si="0"/>
        <v>6</v>
      </c>
      <c r="V9" s="148">
        <f ca="1" t="shared" si="0"/>
        <v>7</v>
      </c>
      <c r="W9" s="148">
        <f ca="1" t="shared" si="0"/>
        <v>8</v>
      </c>
      <c r="X9" s="1"/>
      <c r="AC9" s="148">
        <f ca="1">OFFSET(AC9,0,-1)+1</f>
        <v>1</v>
      </c>
    </row>
    <row r="10" spans="1:29" s="43" customFormat="1" ht="30" customHeight="1">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11/12/17</v>
      </c>
      <c r="P10" s="219" t="str">
        <f ca="1">IF(AND(TipoOrçamento="REPROGRAMADOAC",$N$9&gt;0,N10="Valores Totais (R$)"),"Parcela "&amp;$N$9&amp;" Executado","Parcela "&amp;P$9&amp;CHAR(10)&amp;TEXT(DATE(YEAR(DADOS!$A$48),MONTH(DADOS!$A$48)+P$9-IF(AND(TipoOrçamento="REPROGRAMADOAC",$N$9&gt;0),$N$9,0),1),"mmm/aa"))</f>
        <v>Parcela 1
jan/18</v>
      </c>
      <c r="Q10" s="210" t="str">
        <f ca="1">IF(AND(TipoOrçamento="REPROGRAMADOAC",$N$9&gt;0,O10="Valores Totais (R$)"),"Parcela "&amp;$N$9&amp;" Executado","Parcela "&amp;Q$9&amp;CHAR(10)&amp;TEXT(DATE(YEAR(DADOS!$A$48),MONTH(DADOS!$A$48)+Q$9-IF(AND(TipoOrçamento="REPROGRAMADOAC",$N$9&gt;0),$N$9,0),1),"mmm/aa"))</f>
        <v>Parcela 2
fev/18</v>
      </c>
      <c r="R10" s="210" t="str">
        <f ca="1">IF(AND(TipoOrçamento="REPROGRAMADOAC",$N$9&gt;0,P10="Valores Totais (R$)"),"Parcela "&amp;$N$9&amp;" Executado","Parcela "&amp;R$9&amp;CHAR(10)&amp;TEXT(DATE(YEAR(DADOS!$A$48),MONTH(DADOS!$A$48)+R$9-IF(AND(TipoOrçamento="REPROGRAMADOAC",$N$9&gt;0),$N$9,0),1),"mmm/aa"))</f>
        <v>Parcela 3
mar/18</v>
      </c>
      <c r="S10" s="210" t="str">
        <f ca="1">IF(AND(TipoOrçamento="REPROGRAMADOAC",$N$9&gt;0,Q10="Valores Totais (R$)"),"Parcela "&amp;$N$9&amp;" Executado","Parcela "&amp;S$9&amp;CHAR(10)&amp;TEXT(DATE(YEAR(DADOS!$A$48),MONTH(DADOS!$A$48)+S$9-IF(AND(TipoOrçamento="REPROGRAMADOAC",$N$9&gt;0),$N$9,0),1),"mmm/aa"))</f>
        <v>Parcela 4
abr/18</v>
      </c>
      <c r="T10" s="210" t="str">
        <f ca="1">IF(AND(TipoOrçamento="REPROGRAMADOAC",$N$9&gt;0,R10="Valores Totais (R$)"),"Parcela "&amp;$N$9&amp;" Executado","Parcela "&amp;T$9&amp;CHAR(10)&amp;TEXT(DATE(YEAR(DADOS!$A$48),MONTH(DADOS!$A$48)+T$9-IF(AND(TipoOrçamento="REPROGRAMADOAC",$N$9&gt;0),$N$9,0),1),"mmm/aa"))</f>
        <v>Parcela 5
mai/18</v>
      </c>
      <c r="U10" s="210" t="str">
        <f ca="1">IF(AND(TipoOrçamento="REPROGRAMADOAC",$N$9&gt;0,S10="Valores Totais (R$)"),"Parcela "&amp;$N$9&amp;" Executado","Parcela "&amp;U$9&amp;CHAR(10)&amp;TEXT(DATE(YEAR(DADOS!$A$48),MONTH(DADOS!$A$48)+U$9-IF(AND(TipoOrçamento="REPROGRAMADOAC",$N$9&gt;0),$N$9,0),1),"mmm/aa"))</f>
        <v>Parcela 6
jun/18</v>
      </c>
      <c r="V10" s="210" t="str">
        <f ca="1">IF(AND(TipoOrçamento="REPROGRAMADOAC",$N$9&gt;0,T10="Valores Totais (R$)"),"Parcela "&amp;$N$9&amp;" Executado","Parcela "&amp;V$9&amp;CHAR(10)&amp;TEXT(DATE(YEAR(DADOS!$A$48),MONTH(DADOS!$A$48)+V$9-IF(AND(TipoOrçamento="REPROGRAMADOAC",$N$9&gt;0),$N$9,0),1),"mmm/aa"))</f>
        <v>Parcela 7
jul/18</v>
      </c>
      <c r="W10" s="222" t="str">
        <f ca="1">IF(AND(TipoOrçamento="REPROGRAMADOAC",$N$9&gt;0,U10="Valores Totais (R$)"),"Parcela "&amp;$N$9&amp;" Executado","Parcela "&amp;W$9&amp;CHAR(10)&amp;TEXT(DATE(YEAR(DADOS!$A$48),MONTH(DADOS!$A$48)+W$9-IF(AND(TipoOrçamento="REPROGRAMADOAC",$N$9&gt;0),$N$9,0),1),"mmm/aa"))</f>
        <v>Parcela 8
ago/18</v>
      </c>
      <c r="X10" s="195"/>
      <c r="AC10" s="210" t="str">
        <f ca="1">IF(AND(TipoOrçamento="REPROGRAMADOAC",$N$9&gt;0,AA10="Valores Totais (R$)"),"Parcela "&amp;$N$9&amp;" Executado","Parcela "&amp;AC$9&amp;CHAR(10)&amp;TEXT(DATE(YEAR(DADOS!$A$48),MONTH(DADOS!$A$48)+AC$9-IF(AND(TipoOrçamento="REPROGRAMADOAC",$N$9&gt;0),$N$9,0),1),"mmm/aa"))</f>
        <v>Parcela 1
jan/18</v>
      </c>
    </row>
    <row r="11" spans="1:29" ht="14.25" customHeight="1" hidden="1">
      <c r="A11" s="82"/>
      <c r="B11" s="82"/>
      <c r="C11" s="82"/>
      <c r="D11" s="82"/>
      <c r="E11" s="82"/>
      <c r="F11" s="82"/>
      <c r="G11" s="82"/>
      <c r="H11" s="82"/>
      <c r="I11" s="82"/>
      <c r="J11" s="82"/>
      <c r="K11" s="82"/>
      <c r="L11" s="381" t="e">
        <f ca="1">INDEX(PO!K$12:K$32,MATCH($A13,PO!$V$12:$V$32,0))</f>
        <v>#VALUE!</v>
      </c>
      <c r="M11" s="375" t="e">
        <f ca="1">INDEX(PO!N$12:N$32,MATCH($A13,PO!$V$12:$V$32,0))</f>
        <v>#VALUE!</v>
      </c>
      <c r="N11" s="373" t="e">
        <f ca="1">IF(ROUND(K13,2)=0,K13,ROUND(K13,2))</f>
        <v>#VALUE!</v>
      </c>
      <c r="O11" s="220" t="s">
        <v>143</v>
      </c>
      <c r="P11" s="225" t="e">
        <f ca="1">IF($B13,0,P12-IF(ISNUMBER(O12),O12,0))</f>
        <v>#VALUE!</v>
      </c>
      <c r="Q11" s="226" t="e">
        <f aca="true" t="shared" si="1" ref="Q11:W11">IF($B13,0,Q12-IF(ISNUMBER(P12),P12,0))</f>
        <v>#VALUE!</v>
      </c>
      <c r="R11" s="226" t="e">
        <f ca="1" t="shared" si="1"/>
        <v>#VALUE!</v>
      </c>
      <c r="S11" s="226" t="e">
        <f ca="1" t="shared" si="1"/>
        <v>#VALUE!</v>
      </c>
      <c r="T11" s="226" t="e">
        <f ca="1" t="shared" si="1"/>
        <v>#VALUE!</v>
      </c>
      <c r="U11" s="226" t="e">
        <f ca="1" t="shared" si="1"/>
        <v>#VALUE!</v>
      </c>
      <c r="V11" s="226" t="e">
        <f ca="1" t="shared" si="1"/>
        <v>#VALUE!</v>
      </c>
      <c r="W11" s="227" t="e">
        <f ca="1" t="shared" si="1"/>
        <v>#VALUE!</v>
      </c>
      <c r="X11" s="196"/>
      <c r="AC11" s="221" t="e">
        <f ca="1">IF($B13,0,AC12-IF(ISNUMBER(AB12),AB12,0))</f>
        <v>#VALUE!</v>
      </c>
    </row>
    <row r="12" spans="1:29" ht="13.8" hidden="1">
      <c r="A12" s="184"/>
      <c r="B12" s="184"/>
      <c r="C12" s="184"/>
      <c r="D12" s="184"/>
      <c r="E12" s="184"/>
      <c r="F12" s="184"/>
      <c r="G12" s="184"/>
      <c r="H12" s="184"/>
      <c r="I12" s="184"/>
      <c r="J12" s="184"/>
      <c r="K12" s="184"/>
      <c r="L12" s="382"/>
      <c r="M12" s="376"/>
      <c r="N12" s="374"/>
      <c r="O12" s="170" t="s">
        <v>145</v>
      </c>
      <c r="P12" s="198" t="e">
        <f ca="1">MIN(IF($B13,P11+IF(ISNUMBER(O12),O12,0),P13/$N11),1)</f>
        <v>#VALUE!</v>
      </c>
      <c r="Q12" s="168" t="e">
        <f aca="true" t="shared" si="2" ref="Q12:W12">MIN(IF($B13,Q11+IF(ISNUMBER(P12),P12,0),Q13/$N11),1)</f>
        <v>#VALUE!</v>
      </c>
      <c r="R12" s="168" t="e">
        <f ca="1" t="shared" si="2"/>
        <v>#VALUE!</v>
      </c>
      <c r="S12" s="168" t="e">
        <f ca="1" t="shared" si="2"/>
        <v>#VALUE!</v>
      </c>
      <c r="T12" s="168" t="e">
        <f ca="1" t="shared" si="2"/>
        <v>#VALUE!</v>
      </c>
      <c r="U12" s="168" t="e">
        <f ca="1" t="shared" si="2"/>
        <v>#VALUE!</v>
      </c>
      <c r="V12" s="168" t="e">
        <f ca="1" t="shared" si="2"/>
        <v>#VALUE!</v>
      </c>
      <c r="W12" s="168" t="e">
        <f ca="1" t="shared" si="2"/>
        <v>#VALUE!</v>
      </c>
      <c r="X12" s="196"/>
      <c r="AC12" s="168" t="e">
        <f ca="1">MIN(IF($B13,AC11+IF(ISNUMBER(AB12),AB12,0),AC13/$N11),1)</f>
        <v>#VALUE!</v>
      </c>
    </row>
    <row r="13" spans="1:29" ht="13.8" hidden="1">
      <c r="A13" s="184" t="e">
        <f ca="1">OFFSET(A13,-CFF.NumLinha,0)+1</f>
        <v>#VALUE!</v>
      </c>
      <c r="B13" s="184" t="e">
        <f ca="1">$C13&gt;=OFFSET($C13,CFF.NumLinha,0)</f>
        <v>#VALUE!</v>
      </c>
      <c r="C13" s="184" t="e">
        <f ca="1">INDEX(PO!A$12:A$32,MATCH($A13,PO!$V$12:$V$32,0))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MATCH(0,OFFSET($D13,1,$C13,ROW($A$33)-ROW($A13)),0)</f>
        <v>#VALUE!</v>
      </c>
      <c r="J13" s="184" t="e">
        <f ca="1">MATCH(OFFSET($D13,0,$C13)+1,OFFSET($D13,1,$C13,ROW($A$33)-ROW($A13)),0)</f>
        <v>#VALUE!</v>
      </c>
      <c r="K13" s="185" t="e">
        <f ca="1">ROUND(INDEX(PO!T$12:T$32,MATCH($A13,PO!$V$12:$V$32,0)),2)+10^-12</f>
        <v>#VALUE!</v>
      </c>
      <c r="L13" s="382"/>
      <c r="M13" s="376"/>
      <c r="N13" s="374"/>
      <c r="O13" s="204" t="s">
        <v>20</v>
      </c>
      <c r="P13" s="199" t="e">
        <f ca="1">IF($B13,ROUND(P12*$N11,2),ROUND(SUMIF(OFFSET($B13,1,0,$D13),TRUE,OFFSET(P13,1,0,$D13))/SUMIF(OFFSET($B13,1,0,$D13),TRUE,OFFSET($K13,1,0,$D13))*$N11,2))</f>
        <v>#VALUE!</v>
      </c>
      <c r="Q13" s="169" t="e">
        <f aca="true" ca="1" t="shared" si="3" ref="Q13:W13">IF($B13,ROUND(Q12*$N11,2),ROUND(SUMIF(OFFSET($B13,1,0,$D13),TRUE,OFFSET(Q13,1,0,$D13))/SUMIF(OFFSET($B13,1,0,$D13),TRUE,OFFSET($K13,1,0,$D13))*$N11,2))</f>
        <v>#VALUE!</v>
      </c>
      <c r="R13" s="169" t="e">
        <f ca="1" t="shared" si="3"/>
        <v>#VALUE!</v>
      </c>
      <c r="S13" s="169" t="e">
        <f ca="1" t="shared" si="3"/>
        <v>#VALUE!</v>
      </c>
      <c r="T13" s="169" t="e">
        <f ca="1" t="shared" si="3"/>
        <v>#VALUE!</v>
      </c>
      <c r="U13" s="169" t="e">
        <f ca="1" t="shared" si="3"/>
        <v>#VALUE!</v>
      </c>
      <c r="V13" s="169" t="e">
        <f ca="1" t="shared" si="3"/>
        <v>#VALUE!</v>
      </c>
      <c r="W13" s="207" t="e">
        <f ca="1" t="shared" si="3"/>
        <v>#VALUE!</v>
      </c>
      <c r="X13" s="196"/>
      <c r="AC13" s="169" t="e">
        <f ca="1">IF($B13,ROUND(AC12*$N11,2),ROUND(SUMIF(OFFSET($B13,1,0,$D13),TRUE,OFFSET(AC13,1,0,$D13))/SUMIF(OFFSET($B13,1,0,$D13),TRUE,OFFSET($K13,1,0,$D13))*$N11,2))</f>
        <v>#VALUE!</v>
      </c>
    </row>
    <row r="14" spans="1:29" s="44" customFormat="1" ht="12.75" customHeight="1">
      <c r="A14" s="1"/>
      <c r="B14" s="1"/>
      <c r="C14" s="1"/>
      <c r="D14" s="1"/>
      <c r="E14" s="1"/>
      <c r="F14" s="1"/>
      <c r="G14" s="1"/>
      <c r="H14" s="1"/>
      <c r="I14" s="1"/>
      <c r="J14" s="1"/>
      <c r="K14" s="1"/>
      <c r="L14" s="384" t="s">
        <v>19</v>
      </c>
      <c r="M14" s="385"/>
      <c r="N14" s="390">
        <f ca="1">IF(PO!$T$12=0,10^-12,PO!$T$12)</f>
        <v>1E-12</v>
      </c>
      <c r="O14" s="167" t="s">
        <v>143</v>
      </c>
      <c r="P14" s="205">
        <f ca="1">ROUND(P15/$N14,4)</f>
        <v>0</v>
      </c>
      <c r="Q14" s="206">
        <f aca="true" t="shared" si="4" ref="Q14:W14">ROUND(Q15/$N14,4)</f>
        <v>0</v>
      </c>
      <c r="R14" s="206">
        <f ca="1" t="shared" si="4"/>
        <v>0</v>
      </c>
      <c r="S14" s="206">
        <f ca="1" t="shared" si="4"/>
        <v>0</v>
      </c>
      <c r="T14" s="206">
        <f ca="1" t="shared" si="4"/>
        <v>0</v>
      </c>
      <c r="U14" s="206">
        <f ca="1" t="shared" si="4"/>
        <v>0</v>
      </c>
      <c r="V14" s="206">
        <f ca="1" t="shared" si="4"/>
        <v>0</v>
      </c>
      <c r="W14" s="206">
        <f ca="1" t="shared" si="4"/>
        <v>0</v>
      </c>
      <c r="X14" s="171"/>
      <c r="AC14" s="206">
        <f ca="1">ROUND(AC15/$N14,4)</f>
        <v>0</v>
      </c>
    </row>
    <row r="15" spans="1:29" s="44" customFormat="1" ht="12.75" customHeight="1">
      <c r="A15" s="1"/>
      <c r="B15" s="1"/>
      <c r="C15" s="1"/>
      <c r="D15" s="1"/>
      <c r="E15" s="1"/>
      <c r="F15" s="1"/>
      <c r="G15" s="1"/>
      <c r="H15" s="1"/>
      <c r="I15" s="1"/>
      <c r="J15" s="1"/>
      <c r="K15" s="1"/>
      <c r="L15" s="386"/>
      <c r="M15" s="387"/>
      <c r="N15" s="391"/>
      <c r="O15" s="156" t="s">
        <v>144</v>
      </c>
      <c r="P15" s="200">
        <f ca="1">P17-IF(ISNUMBER(O17),O17,0)</f>
        <v>0</v>
      </c>
      <c r="Q15" s="150">
        <f aca="true" t="shared" si="5" ref="Q15:W15">Q17-IF(ISNUMBER(P17),P17,0)</f>
        <v>0</v>
      </c>
      <c r="R15" s="150">
        <f ca="1" t="shared" si="5"/>
        <v>0</v>
      </c>
      <c r="S15" s="150">
        <f ca="1" t="shared" si="5"/>
        <v>0</v>
      </c>
      <c r="T15" s="150">
        <f ca="1" t="shared" si="5"/>
        <v>0</v>
      </c>
      <c r="U15" s="150">
        <f ca="1" t="shared" si="5"/>
        <v>0</v>
      </c>
      <c r="V15" s="150">
        <f ca="1" t="shared" si="5"/>
        <v>0</v>
      </c>
      <c r="W15" s="150">
        <f ca="1" t="shared" si="5"/>
        <v>0</v>
      </c>
      <c r="X15" s="171"/>
      <c r="AC15" s="150">
        <f ca="1">AC17-IF(ISNUMBER(AB17),AB17,0)</f>
        <v>0</v>
      </c>
    </row>
    <row r="16" spans="1:29" s="44" customFormat="1" ht="12.75" customHeight="1">
      <c r="A16" s="1"/>
      <c r="B16" s="1"/>
      <c r="C16" s="1"/>
      <c r="D16" s="1"/>
      <c r="E16" s="1"/>
      <c r="F16" s="1"/>
      <c r="G16" s="1"/>
      <c r="H16" s="1"/>
      <c r="I16" s="1"/>
      <c r="J16" s="1"/>
      <c r="K16" s="1"/>
      <c r="L16" s="386"/>
      <c r="M16" s="387"/>
      <c r="N16" s="391"/>
      <c r="O16" s="157" t="s">
        <v>145</v>
      </c>
      <c r="P16" s="201">
        <f ca="1">ROUND(P17/$N14,4)</f>
        <v>0</v>
      </c>
      <c r="Q16" s="151">
        <f aca="true" t="shared" si="6" ref="Q16:W16">ROUND(Q17/$N14,4)</f>
        <v>0</v>
      </c>
      <c r="R16" s="151">
        <f ca="1" t="shared" si="6"/>
        <v>0</v>
      </c>
      <c r="S16" s="151">
        <f ca="1" t="shared" si="6"/>
        <v>0</v>
      </c>
      <c r="T16" s="151">
        <f ca="1" t="shared" si="6"/>
        <v>0</v>
      </c>
      <c r="U16" s="151">
        <f ca="1" t="shared" si="6"/>
        <v>0</v>
      </c>
      <c r="V16" s="151">
        <f ca="1" t="shared" si="6"/>
        <v>0</v>
      </c>
      <c r="W16" s="151">
        <f ca="1" t="shared" si="6"/>
        <v>0</v>
      </c>
      <c r="X16" s="171"/>
      <c r="AC16" s="151">
        <f ca="1">ROUND(AC17/$N14,4)</f>
        <v>0</v>
      </c>
    </row>
    <row r="17" spans="1:29" s="44" customFormat="1" ht="12.75" customHeight="1">
      <c r="A17" s="114">
        <v>0</v>
      </c>
      <c r="B17" s="1"/>
      <c r="C17" s="1"/>
      <c r="D17" s="114">
        <f>ROW(D$33)-ROW(D18)</f>
        <v>15</v>
      </c>
      <c r="E17" s="1"/>
      <c r="F17" s="1"/>
      <c r="G17" s="1"/>
      <c r="H17" s="1"/>
      <c r="I17" s="1"/>
      <c r="J17" s="1"/>
      <c r="K17" s="1"/>
      <c r="L17" s="388"/>
      <c r="M17" s="389"/>
      <c r="N17" s="392"/>
      <c r="O17" s="158" t="s">
        <v>20</v>
      </c>
      <c r="P17" s="202">
        <f ca="1">SUMIF(OFFSET($C17,1,0):$C$33,1,OFFSET(P17,1,0):P$33)</f>
        <v>0</v>
      </c>
      <c r="Q17" s="152">
        <f ca="1">SUMIF(OFFSET($C17,1,0):$C$33,1,OFFSET(Q17,1,0):Q$33)</f>
        <v>0</v>
      </c>
      <c r="R17" s="152">
        <f ca="1">SUMIF(OFFSET($C17,1,0):$C$33,1,OFFSET(R17,1,0):R$33)</f>
        <v>0</v>
      </c>
      <c r="S17" s="152">
        <f ca="1">SUMIF(OFFSET($C17,1,0):$C$33,1,OFFSET(S17,1,0):S$33)</f>
        <v>0</v>
      </c>
      <c r="T17" s="152">
        <f ca="1">SUMIF(OFFSET($C17,1,0):$C$33,1,OFFSET(T17,1,0):T$33)</f>
        <v>0</v>
      </c>
      <c r="U17" s="152">
        <f ca="1">SUMIF(OFFSET($C17,1,0):$C$33,1,OFFSET(U17,1,0):U$33)</f>
        <v>0</v>
      </c>
      <c r="V17" s="152">
        <f ca="1">SUMIF(OFFSET($C17,1,0):$C$33,1,OFFSET(V17,1,0):V$33)</f>
        <v>0</v>
      </c>
      <c r="W17" s="152">
        <f ca="1">SUMIF(OFFSET($C17,1,0):$C$33,1,OFFSET(W17,1,0):W$33)</f>
        <v>0</v>
      </c>
      <c r="X17" s="171"/>
      <c r="AC17" s="152">
        <f ca="1">SUMIF(OFFSET($C17,1,0):$C$33,1,OFFSET(AC17,1,0):AC$33)</f>
        <v>0</v>
      </c>
    </row>
    <row r="18" spans="1:29" ht="14.25" customHeight="1">
      <c r="A18" s="1"/>
      <c r="B18" s="1"/>
      <c r="C18" s="1"/>
      <c r="D18" s="1"/>
      <c r="E18" s="1"/>
      <c r="F18" s="1"/>
      <c r="G18" s="1"/>
      <c r="H18" s="1"/>
      <c r="I18" s="1"/>
      <c r="J18" s="1"/>
      <c r="K18" s="1"/>
      <c r="L18" s="381" t="str">
        <f ca="1">INDEX(PO!K$12:K$32,MATCH($A20,PO!$V$12:$V$32,0))</f>
        <v>1.</v>
      </c>
      <c r="M18" s="375" t="str">
        <f ca="1">INDEX(PO!N$12:N$32,MATCH($A20,PO!$V$12:$V$32,0))</f>
        <v xml:space="preserve">VEDAÇÃO EM ALVENARIA </v>
      </c>
      <c r="N18" s="373">
        <f ca="1">IF(ROUND(K20,2)=0,K20,ROUND(K20,2))</f>
        <v>1E-12</v>
      </c>
      <c r="O18" s="203" t="s">
        <v>143</v>
      </c>
      <c r="P18" s="225">
        <f aca="true" t="shared" si="7" ref="P18:W18">IF($B20,0,P19-IF(ISNUMBER(O19),O19,0))</f>
        <v>0</v>
      </c>
      <c r="Q18" s="226">
        <f ca="1" t="shared" si="7"/>
        <v>0</v>
      </c>
      <c r="R18" s="226">
        <f ca="1" t="shared" si="7"/>
        <v>0</v>
      </c>
      <c r="S18" s="226">
        <f ca="1" t="shared" si="7"/>
        <v>0</v>
      </c>
      <c r="T18" s="226">
        <f ca="1" t="shared" si="7"/>
        <v>0</v>
      </c>
      <c r="U18" s="226">
        <f ca="1" t="shared" si="7"/>
        <v>0</v>
      </c>
      <c r="V18" s="226">
        <f ca="1" t="shared" si="7"/>
        <v>0</v>
      </c>
      <c r="W18" s="227">
        <f ca="1" t="shared" si="7"/>
        <v>0</v>
      </c>
      <c r="X18" s="197" t="s">
        <v>106</v>
      </c>
      <c r="AC18" s="221">
        <f ca="1">IF($B20,0,AC19-IF(ISNUMBER(AB19),AB19,0))</f>
        <v>0</v>
      </c>
    </row>
    <row r="19" spans="1:29" ht="13.8">
      <c r="A19" s="1"/>
      <c r="B19" s="1"/>
      <c r="C19" s="1"/>
      <c r="D19" s="1"/>
      <c r="E19" s="1"/>
      <c r="F19" s="1"/>
      <c r="G19" s="1"/>
      <c r="H19" s="1"/>
      <c r="I19" s="1"/>
      <c r="J19" s="1"/>
      <c r="K19" s="1"/>
      <c r="L19" s="382"/>
      <c r="M19" s="376"/>
      <c r="N19" s="374"/>
      <c r="O19" s="170" t="s">
        <v>145</v>
      </c>
      <c r="P19" s="198">
        <f aca="true" t="shared" si="8" ref="P19:W19">MIN(IF($B20,P18+IF(ISNUMBER(O19),O19,0),P20/$N18),1)</f>
        <v>0</v>
      </c>
      <c r="Q19" s="168">
        <f ca="1" t="shared" si="8"/>
        <v>0</v>
      </c>
      <c r="R19" s="168">
        <f ca="1" t="shared" si="8"/>
        <v>0</v>
      </c>
      <c r="S19" s="168">
        <f ca="1" t="shared" si="8"/>
        <v>0</v>
      </c>
      <c r="T19" s="168">
        <f ca="1" t="shared" si="8"/>
        <v>0</v>
      </c>
      <c r="U19" s="168">
        <f ca="1" t="shared" si="8"/>
        <v>0</v>
      </c>
      <c r="V19" s="168">
        <f ca="1" t="shared" si="8"/>
        <v>0</v>
      </c>
      <c r="W19" s="168">
        <f ca="1" t="shared" si="8"/>
        <v>0</v>
      </c>
      <c r="X19" s="196"/>
      <c r="AC19" s="168">
        <f ca="1">MIN(IF($B20,AC18+IF(ISNUMBER(AB19),AB19,0),AC20/$N18),1)</f>
        <v>0</v>
      </c>
    </row>
    <row r="20" spans="1:29" ht="13.8">
      <c r="A20" s="114">
        <f ca="1">OFFSET(A20,-CFF.NumLinha,0)+1</f>
        <v>1</v>
      </c>
      <c r="B20" s="1" t="b">
        <f ca="1">$C20&gt;=OFFSET($C20,CFF.NumLinha,0)</f>
        <v>0</v>
      </c>
      <c r="C20" s="184">
        <f ca="1">INDEX(PO!A$12:A$32,MATCH($A20,PO!$V$12:$V$32,0))</f>
        <v>1</v>
      </c>
      <c r="D20" s="184">
        <f ca="1">IF(ISERROR(J20),I20,SMALL(I20:J20,1))-1</f>
        <v>12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MATCH(0,OFFSET($D20,1,$C20,ROW($A$33)-ROW($A20)),0)</f>
        <v>13</v>
      </c>
      <c r="J20" s="184" t="e">
        <f ca="1">MATCH(OFFSET($D20,0,$C20)+1,OFFSET($D20,1,$C20,ROW($A$33)-ROW($A20)),0)</f>
        <v>#N/A</v>
      </c>
      <c r="K20" s="185">
        <f ca="1">ROUND(INDEX(PO!T$12:T$32,MATCH($A20,PO!$V$12:$V$32,0)),2)+10^-12</f>
        <v>1E-12</v>
      </c>
      <c r="L20" s="382"/>
      <c r="M20" s="376"/>
      <c r="N20" s="374"/>
      <c r="O20" s="204" t="s">
        <v>20</v>
      </c>
      <c r="P20" s="199">
        <f aca="true" ca="1" t="shared" si="9" ref="P20:W20">IF($B20,ROUND(P19*$N18,2),ROUND(SUMIF(OFFSET($B20,1,0,$D20),TRUE,OFFSET(P20,1,0,$D20))/SUMIF(OFFSET($B20,1,0,$D20),TRUE,OFFSET($K20,1,0,$D20))*$N18,2))</f>
        <v>0</v>
      </c>
      <c r="Q20" s="169">
        <f ca="1" t="shared" si="9"/>
        <v>0</v>
      </c>
      <c r="R20" s="169">
        <f ca="1" t="shared" si="9"/>
        <v>0</v>
      </c>
      <c r="S20" s="169">
        <f ca="1" t="shared" si="9"/>
        <v>0</v>
      </c>
      <c r="T20" s="169">
        <f ca="1" t="shared" si="9"/>
        <v>0</v>
      </c>
      <c r="U20" s="169">
        <f ca="1" t="shared" si="9"/>
        <v>0</v>
      </c>
      <c r="V20" s="169">
        <f ca="1" t="shared" si="9"/>
        <v>0</v>
      </c>
      <c r="W20" s="207">
        <f ca="1" t="shared" si="9"/>
        <v>0</v>
      </c>
      <c r="X20" s="196"/>
      <c r="AC20" s="169">
        <f ca="1">IF($B20,ROUND(AC19*$N18,2),ROUND(SUMIF(OFFSET($B20,1,0,$D20),TRUE,OFFSET(AC20,1,0,$D20))/SUMIF(OFFSET($B20,1,0,$D20),TRUE,OFFSET($K20,1,0,$D20))*$N18,2))</f>
        <v>0</v>
      </c>
    </row>
    <row r="21" spans="1:29" ht="14.25" customHeight="1">
      <c r="A21" s="82"/>
      <c r="B21" s="82"/>
      <c r="C21" s="82"/>
      <c r="D21" s="82"/>
      <c r="E21" s="82"/>
      <c r="F21" s="82"/>
      <c r="G21" s="82"/>
      <c r="H21" s="82"/>
      <c r="I21" s="82"/>
      <c r="J21" s="82"/>
      <c r="K21" s="82"/>
      <c r="L21" s="381" t="str">
        <f ca="1">INDEX(PO!K$12:K$32,MATCH($A23,PO!$V$12:$V$32,0))</f>
        <v>1.1.</v>
      </c>
      <c r="M21" s="375" t="str">
        <f ca="1">INDEX(PO!N$12:N$32,MATCH($A23,PO!$V$12:$V$32,0))</f>
        <v>PLACA DE OBRA</v>
      </c>
      <c r="N21" s="373">
        <f aca="true" t="shared" si="10" ref="N21">IF(ROUND(K23,2)=0,K23,ROUND(K23,2))</f>
        <v>1E-12</v>
      </c>
      <c r="O21" s="220" t="s">
        <v>143</v>
      </c>
      <c r="P21" s="225">
        <v>1</v>
      </c>
      <c r="Q21" s="226">
        <v>0.5</v>
      </c>
      <c r="R21" s="226">
        <f aca="true" t="shared" si="11" ref="R21">IF($B23,0,R22-IF(ISNUMBER(Q22),Q22,0))</f>
        <v>0</v>
      </c>
      <c r="S21" s="226">
        <f aca="true" t="shared" si="12" ref="S21">IF($B23,0,S22-IF(ISNUMBER(R22),R22,0))</f>
        <v>0</v>
      </c>
      <c r="T21" s="226">
        <f aca="true" t="shared" si="13" ref="T21">IF($B23,0,T22-IF(ISNUMBER(S22),S22,0))</f>
        <v>0</v>
      </c>
      <c r="U21" s="226">
        <f aca="true" t="shared" si="14" ref="U21">IF($B23,0,U22-IF(ISNUMBER(T22),T22,0))</f>
        <v>0</v>
      </c>
      <c r="V21" s="226">
        <f aca="true" t="shared" si="15" ref="V21">IF($B23,0,V22-IF(ISNUMBER(U22),U22,0))</f>
        <v>0</v>
      </c>
      <c r="W21" s="227">
        <f aca="true" t="shared" si="16" ref="W21">IF($B23,0,W22-IF(ISNUMBER(V22),V22,0))</f>
        <v>0</v>
      </c>
      <c r="X21" s="196"/>
      <c r="AC21" s="221">
        <f aca="true" t="shared" si="17" ref="AC21">IF($B23,0,AC22-IF(ISNUMBER(AB22),AB22,0))</f>
        <v>0</v>
      </c>
    </row>
    <row r="22" spans="1:29" ht="13.8">
      <c r="A22" s="184"/>
      <c r="B22" s="184"/>
      <c r="C22" s="184"/>
      <c r="D22" s="184"/>
      <c r="E22" s="184"/>
      <c r="F22" s="184"/>
      <c r="G22" s="184"/>
      <c r="H22" s="184"/>
      <c r="I22" s="184"/>
      <c r="J22" s="184"/>
      <c r="K22" s="184"/>
      <c r="L22" s="382"/>
      <c r="M22" s="376"/>
      <c r="N22" s="374"/>
      <c r="O22" s="170" t="s">
        <v>145</v>
      </c>
      <c r="P22" s="198">
        <f aca="true" t="shared" si="18" ref="P22">MIN(IF($B23,P21+IF(ISNUMBER(O22),O22,0),P23/$N21),1)</f>
        <v>1</v>
      </c>
      <c r="Q22" s="168">
        <f aca="true" t="shared" si="19" ref="Q22">MIN(IF($B23,Q21+IF(ISNUMBER(P22),P22,0),Q23/$N21),1)</f>
        <v>1</v>
      </c>
      <c r="R22" s="168">
        <f aca="true" t="shared" si="20" ref="R22">MIN(IF($B23,R21+IF(ISNUMBER(Q22),Q22,0),R23/$N21),1)</f>
        <v>1</v>
      </c>
      <c r="S22" s="168">
        <f aca="true" t="shared" si="21" ref="S22">MIN(IF($B23,S21+IF(ISNUMBER(R22),R22,0),S23/$N21),1)</f>
        <v>1</v>
      </c>
      <c r="T22" s="168">
        <f aca="true" t="shared" si="22" ref="T22">MIN(IF($B23,T21+IF(ISNUMBER(S22),S22,0),T23/$N21),1)</f>
        <v>1</v>
      </c>
      <c r="U22" s="168">
        <f aca="true" t="shared" si="23" ref="U22">MIN(IF($B23,U21+IF(ISNUMBER(T22),T22,0),U23/$N21),1)</f>
        <v>1</v>
      </c>
      <c r="V22" s="168">
        <f aca="true" t="shared" si="24" ref="V22">MIN(IF($B23,V21+IF(ISNUMBER(U22),U22,0),V23/$N21),1)</f>
        <v>1</v>
      </c>
      <c r="W22" s="168">
        <f aca="true" t="shared" si="25" ref="W22">MIN(IF($B23,W21+IF(ISNUMBER(V22),V22,0),W23/$N21),1)</f>
        <v>1</v>
      </c>
      <c r="X22" s="196"/>
      <c r="AC22" s="168">
        <f aca="true" t="shared" si="26" ref="AC22">MIN(IF($B23,AC21+IF(ISNUMBER(AB22),AB22,0),AC23/$N21),1)</f>
        <v>0</v>
      </c>
    </row>
    <row r="23" spans="1:29" ht="13.8">
      <c r="A23" s="184">
        <f ca="1">OFFSET(A23,-CFF.NumLinha,0)+1</f>
        <v>2</v>
      </c>
      <c r="B23" s="184" t="b">
        <f ca="1">$C23&gt;=OFFSET($C23,CFF.NumLinha,0)</f>
        <v>1</v>
      </c>
      <c r="C23" s="184">
        <f ca="1">INDEX(PO!A$12:A$32,MATCH($A23,PO!$V$12:$V$32,0))</f>
        <v>2</v>
      </c>
      <c r="D23" s="184">
        <f aca="true" t="shared" si="27" ref="D23">IF(ISERROR(J23),I23,SMALL(I23:J23,1))-1</f>
        <v>2</v>
      </c>
      <c r="E23" s="184">
        <f ca="1">IF($C23=1,OFFSET(E23,-CFF.NumLinha,0)+1,OFFSET(E23,-CFF.NumLinha,0))</f>
        <v>1</v>
      </c>
      <c r="F23" s="184">
        <f ca="1">IF($C23=1,0,IF($C23=2,OFFSET(F23,-CFF.NumLinha,0)+1,OFFSET(F23,-CFF.NumLinha,0)))</f>
        <v>1</v>
      </c>
      <c r="G23" s="184">
        <f ca="1">IF(AND($C23&lt;=2,$C23&lt;&gt;0),0,IF($C23=3,OFFSET(G23,-CFF.NumLinha,0)+1,OFFSET(G23,-CFF.NumLinha,0)))</f>
        <v>0</v>
      </c>
      <c r="H23" s="184">
        <f ca="1">IF(AND($C23&lt;=3,$C23&lt;&gt;0),0,IF($C23=4,OFFSET(H23,-CFF.NumLinha,0)+1,OFFSET(H23,-CFF.NumLinha,0)))</f>
        <v>0</v>
      </c>
      <c r="I23" s="184">
        <f aca="true" ca="1" t="shared" si="28" ref="I23">MATCH(0,OFFSET($D23,1,$C23,ROW($A$33)-ROW($A23)),0)</f>
        <v>10</v>
      </c>
      <c r="J23" s="184">
        <f aca="true" ca="1" t="shared" si="29" ref="J23">MATCH(OFFSET($D23,0,$C23)+1,OFFSET($D23,1,$C23,ROW($A$33)-ROW($A23)),0)</f>
        <v>3</v>
      </c>
      <c r="K23" s="185">
        <f ca="1">ROUND(INDEX(PO!T$12:T$32,MATCH($A23,PO!$V$12:$V$32,0)),2)+10^-12</f>
        <v>1E-12</v>
      </c>
      <c r="L23" s="382"/>
      <c r="M23" s="376"/>
      <c r="N23" s="374"/>
      <c r="O23" s="204" t="s">
        <v>20</v>
      </c>
      <c r="P23" s="199">
        <f aca="true" ca="1" t="shared" si="30" ref="P23:W23">IF($B23,ROUND(P22*$N21,2),ROUND(SUMIF(OFFSET($B23,1,0,$D23),TRUE,OFFSET(P23,1,0,$D23))/SUMIF(OFFSET($B23,1,0,$D23),TRUE,OFFSET($K23,1,0,$D23))*$N21,2))</f>
        <v>0</v>
      </c>
      <c r="Q23" s="169">
        <f ca="1" t="shared" si="30"/>
        <v>0</v>
      </c>
      <c r="R23" s="169">
        <f ca="1" t="shared" si="30"/>
        <v>0</v>
      </c>
      <c r="S23" s="169">
        <f ca="1" t="shared" si="30"/>
        <v>0</v>
      </c>
      <c r="T23" s="169">
        <f ca="1" t="shared" si="30"/>
        <v>0</v>
      </c>
      <c r="U23" s="169">
        <f ca="1" t="shared" si="30"/>
        <v>0</v>
      </c>
      <c r="V23" s="169">
        <f ca="1" t="shared" si="30"/>
        <v>0</v>
      </c>
      <c r="W23" s="207">
        <f ca="1" t="shared" si="30"/>
        <v>0</v>
      </c>
      <c r="X23" s="196"/>
      <c r="AC23" s="169">
        <f aca="true" ca="1" t="shared" si="31" ref="AC23">IF($B23,ROUND(AC22*$N21,2),ROUND(SUMIF(OFFSET($B23,1,0,$D23),TRUE,OFFSET(AC23,1,0,$D23))/SUMIF(OFFSET($B23,1,0,$D23),TRUE,OFFSET($K23,1,0,$D23))*$N21,2))</f>
        <v>0</v>
      </c>
    </row>
    <row r="24" spans="1:29" ht="14.25" customHeight="1">
      <c r="A24" s="82"/>
      <c r="B24" s="82"/>
      <c r="C24" s="82"/>
      <c r="D24" s="82"/>
      <c r="E24" s="82"/>
      <c r="F24" s="82"/>
      <c r="G24" s="82"/>
      <c r="H24" s="82"/>
      <c r="I24" s="82"/>
      <c r="J24" s="82"/>
      <c r="K24" s="82"/>
      <c r="L24" s="381" t="str">
        <f ca="1">INDEX(PO!K$12:K$32,MATCH($A26,PO!$V$12:$V$32,0))</f>
        <v>1.2.</v>
      </c>
      <c r="M24" s="375" t="str">
        <f ca="1">INDEX(PO!N$12:N$32,MATCH($A26,PO!$V$12:$V$32,0))</f>
        <v>ALVENARIA E REVESTIMENTO</v>
      </c>
      <c r="N24" s="373">
        <f aca="true" t="shared" si="32" ref="N24">IF(ROUND(K26,2)=0,K26,ROUND(K26,2))</f>
        <v>1E-12</v>
      </c>
      <c r="O24" s="220" t="s">
        <v>143</v>
      </c>
      <c r="P24" s="225">
        <v>0.45</v>
      </c>
      <c r="Q24" s="226">
        <v>0.4</v>
      </c>
      <c r="R24" s="226">
        <v>0.15</v>
      </c>
      <c r="S24" s="226">
        <f aca="true" t="shared" si="33" ref="S24">IF($B26,0,S25-IF(ISNUMBER(R25),R25,0))</f>
        <v>0</v>
      </c>
      <c r="T24" s="226">
        <f aca="true" t="shared" si="34" ref="T24">IF($B26,0,T25-IF(ISNUMBER(S25),S25,0))</f>
        <v>0</v>
      </c>
      <c r="U24" s="226">
        <f aca="true" t="shared" si="35" ref="U24">IF($B26,0,U25-IF(ISNUMBER(T25),T25,0))</f>
        <v>0</v>
      </c>
      <c r="V24" s="226">
        <f aca="true" t="shared" si="36" ref="V24">IF($B26,0,V25-IF(ISNUMBER(U25),U25,0))</f>
        <v>0</v>
      </c>
      <c r="W24" s="227">
        <f aca="true" t="shared" si="37" ref="W24">IF($B26,0,W25-IF(ISNUMBER(V25),V25,0))</f>
        <v>0</v>
      </c>
      <c r="X24" s="196"/>
      <c r="AC24" s="221">
        <f aca="true" t="shared" si="38" ref="AC24">IF($B26,0,AC25-IF(ISNUMBER(AB25),AB25,0))</f>
        <v>0</v>
      </c>
    </row>
    <row r="25" spans="1:29" ht="13.8">
      <c r="A25" s="184"/>
      <c r="B25" s="184"/>
      <c r="C25" s="184"/>
      <c r="D25" s="184"/>
      <c r="E25" s="184"/>
      <c r="F25" s="184"/>
      <c r="G25" s="184"/>
      <c r="H25" s="184"/>
      <c r="I25" s="184"/>
      <c r="J25" s="184"/>
      <c r="K25" s="184"/>
      <c r="L25" s="382"/>
      <c r="M25" s="376"/>
      <c r="N25" s="374"/>
      <c r="O25" s="170" t="s">
        <v>145</v>
      </c>
      <c r="P25" s="198">
        <f aca="true" t="shared" si="39" ref="P25">MIN(IF($B26,P24+IF(ISNUMBER(O25),O25,0),P26/$N24),1)</f>
        <v>0.45</v>
      </c>
      <c r="Q25" s="168">
        <f aca="true" t="shared" si="40" ref="Q25">MIN(IF($B26,Q24+IF(ISNUMBER(P25),P25,0),Q26/$N24),1)</f>
        <v>0.8500000000000001</v>
      </c>
      <c r="R25" s="168">
        <f aca="true" t="shared" si="41" ref="R25">MIN(IF($B26,R24+IF(ISNUMBER(Q25),Q25,0),R26/$N24),1)</f>
        <v>1</v>
      </c>
      <c r="S25" s="168">
        <f aca="true" t="shared" si="42" ref="S25">MIN(IF($B26,S24+IF(ISNUMBER(R25),R25,0),S26/$N24),1)</f>
        <v>1</v>
      </c>
      <c r="T25" s="168">
        <f aca="true" t="shared" si="43" ref="T25">MIN(IF($B26,T24+IF(ISNUMBER(S25),S25,0),T26/$N24),1)</f>
        <v>1</v>
      </c>
      <c r="U25" s="168">
        <f aca="true" t="shared" si="44" ref="U25">MIN(IF($B26,U24+IF(ISNUMBER(T25),T25,0),U26/$N24),1)</f>
        <v>1</v>
      </c>
      <c r="V25" s="168">
        <f aca="true" t="shared" si="45" ref="V25">MIN(IF($B26,V24+IF(ISNUMBER(U25),U25,0),V26/$N24),1)</f>
        <v>1</v>
      </c>
      <c r="W25" s="168">
        <f aca="true" t="shared" si="46" ref="W25">MIN(IF($B26,W24+IF(ISNUMBER(V25),V25,0),W26/$N24),1)</f>
        <v>1</v>
      </c>
      <c r="X25" s="196"/>
      <c r="AC25" s="168">
        <f aca="true" t="shared" si="47" ref="AC25">MIN(IF($B26,AC24+IF(ISNUMBER(AB25),AB25,0),AC26/$N24),1)</f>
        <v>0</v>
      </c>
    </row>
    <row r="26" spans="1:29" ht="13.8">
      <c r="A26" s="184">
        <f ca="1">OFFSET(A26,-CFF.NumLinha,0)+1</f>
        <v>3</v>
      </c>
      <c r="B26" s="184" t="b">
        <f ca="1">$C26&gt;=OFFSET($C26,CFF.NumLinha,0)</f>
        <v>1</v>
      </c>
      <c r="C26" s="184">
        <f ca="1">INDEX(PO!A$12:A$32,MATCH($A26,PO!$V$12:$V$32,0))</f>
        <v>2</v>
      </c>
      <c r="D26" s="184">
        <f aca="true" t="shared" si="48" ref="D26">IF(ISERROR(J26),I26,SMALL(I26:J26,1))-1</f>
        <v>2</v>
      </c>
      <c r="E26" s="184">
        <f ca="1">IF($C26=1,OFFSET(E26,-CFF.NumLinha,0)+1,OFFSET(E26,-CFF.NumLinha,0))</f>
        <v>1</v>
      </c>
      <c r="F26" s="184">
        <f ca="1">IF($C26=1,0,IF($C26=2,OFFSET(F26,-CFF.NumLinha,0)+1,OFFSET(F26,-CFF.NumLinha,0)))</f>
        <v>2</v>
      </c>
      <c r="G26" s="184">
        <f ca="1">IF(AND($C26&lt;=2,$C26&lt;&gt;0),0,IF($C26=3,OFFSET(G26,-CFF.NumLinha,0)+1,OFFSET(G26,-CFF.NumLinha,0)))</f>
        <v>0</v>
      </c>
      <c r="H26" s="184">
        <f ca="1">IF(AND($C26&lt;=3,$C26&lt;&gt;0),0,IF($C26=4,OFFSET(H26,-CFF.NumLinha,0)+1,OFFSET(H26,-CFF.NumLinha,0)))</f>
        <v>0</v>
      </c>
      <c r="I26" s="184">
        <f aca="true" ca="1" t="shared" si="49" ref="I26">MATCH(0,OFFSET($D26,1,$C26,ROW($A$33)-ROW($A26)),0)</f>
        <v>7</v>
      </c>
      <c r="J26" s="184">
        <f aca="true" ca="1" t="shared" si="50" ref="J26">MATCH(OFFSET($D26,0,$C26)+1,OFFSET($D26,1,$C26,ROW($A$33)-ROW($A26)),0)</f>
        <v>3</v>
      </c>
      <c r="K26" s="185">
        <f ca="1">ROUND(INDEX(PO!T$12:T$32,MATCH($A26,PO!$V$12:$V$32,0)),2)+10^-12</f>
        <v>1E-12</v>
      </c>
      <c r="L26" s="382"/>
      <c r="M26" s="376"/>
      <c r="N26" s="374"/>
      <c r="O26" s="204" t="s">
        <v>20</v>
      </c>
      <c r="P26" s="199">
        <f aca="true" ca="1" t="shared" si="51" ref="P26:W26">IF($B26,ROUND(P25*$N24,2),ROUND(SUMIF(OFFSET($B26,1,0,$D26),TRUE,OFFSET(P26,1,0,$D26))/SUMIF(OFFSET($B26,1,0,$D26),TRUE,OFFSET($K26,1,0,$D26))*$N24,2))</f>
        <v>0</v>
      </c>
      <c r="Q26" s="169">
        <f ca="1" t="shared" si="51"/>
        <v>0</v>
      </c>
      <c r="R26" s="169">
        <f ca="1" t="shared" si="51"/>
        <v>0</v>
      </c>
      <c r="S26" s="169">
        <f ca="1" t="shared" si="51"/>
        <v>0</v>
      </c>
      <c r="T26" s="169">
        <f ca="1" t="shared" si="51"/>
        <v>0</v>
      </c>
      <c r="U26" s="169">
        <f ca="1" t="shared" si="51"/>
        <v>0</v>
      </c>
      <c r="V26" s="169">
        <f ca="1" t="shared" si="51"/>
        <v>0</v>
      </c>
      <c r="W26" s="207">
        <f ca="1" t="shared" si="51"/>
        <v>0</v>
      </c>
      <c r="X26" s="196"/>
      <c r="AC26" s="169">
        <f aca="true" ca="1" t="shared" si="52" ref="AC26">IF($B26,ROUND(AC25*$N24,2),ROUND(SUMIF(OFFSET($B26,1,0,$D26),TRUE,OFFSET(AC26,1,0,$D26))/SUMIF(OFFSET($B26,1,0,$D26),TRUE,OFFSET($K26,1,0,$D26))*$N24,2))</f>
        <v>0</v>
      </c>
    </row>
    <row r="27" spans="1:29" ht="14.25" customHeight="1">
      <c r="A27" s="82"/>
      <c r="B27" s="82"/>
      <c r="C27" s="82"/>
      <c r="D27" s="82"/>
      <c r="E27" s="82"/>
      <c r="F27" s="82"/>
      <c r="G27" s="82"/>
      <c r="H27" s="82"/>
      <c r="I27" s="82"/>
      <c r="J27" s="82"/>
      <c r="K27" s="82"/>
      <c r="L27" s="381" t="str">
        <f ca="1">INDEX(PO!K$12:K$32,MATCH($A29,PO!$V$12:$V$32,0))</f>
        <v>1.3.</v>
      </c>
      <c r="M27" s="375" t="str">
        <f ca="1">INDEX(PO!N$12:N$32,MATCH($A29,PO!$V$12:$V$32,0))</f>
        <v>VERGA E CONTRAVERGA</v>
      </c>
      <c r="N27" s="373">
        <f aca="true" t="shared" si="53" ref="N27">IF(ROUND(K29,2)=0,K29,ROUND(K29,2))</f>
        <v>1E-12</v>
      </c>
      <c r="O27" s="220" t="s">
        <v>143</v>
      </c>
      <c r="P27" s="225">
        <v>0.4</v>
      </c>
      <c r="Q27" s="226">
        <v>0.4</v>
      </c>
      <c r="R27" s="226">
        <v>0.2</v>
      </c>
      <c r="S27" s="226">
        <f aca="true" t="shared" si="54" ref="S27">IF($B29,0,S28-IF(ISNUMBER(R28),R28,0))</f>
        <v>0</v>
      </c>
      <c r="T27" s="226">
        <f aca="true" t="shared" si="55" ref="T27">IF($B29,0,T28-IF(ISNUMBER(S28),S28,0))</f>
        <v>0</v>
      </c>
      <c r="U27" s="226">
        <f aca="true" t="shared" si="56" ref="U27">IF($B29,0,U28-IF(ISNUMBER(T28),T28,0))</f>
        <v>0</v>
      </c>
      <c r="V27" s="226">
        <f aca="true" t="shared" si="57" ref="V27">IF($B29,0,V28-IF(ISNUMBER(U28),U28,0))</f>
        <v>0</v>
      </c>
      <c r="W27" s="227">
        <f aca="true" t="shared" si="58" ref="W27">IF($B29,0,W28-IF(ISNUMBER(V28),V28,0))</f>
        <v>0</v>
      </c>
      <c r="X27" s="196"/>
      <c r="AC27" s="221">
        <f aca="true" t="shared" si="59" ref="AC27">IF($B29,0,AC28-IF(ISNUMBER(AB28),AB28,0))</f>
        <v>0</v>
      </c>
    </row>
    <row r="28" spans="1:29" ht="13.8">
      <c r="A28" s="184"/>
      <c r="B28" s="184"/>
      <c r="C28" s="184"/>
      <c r="D28" s="184"/>
      <c r="E28" s="184"/>
      <c r="F28" s="184"/>
      <c r="G28" s="184"/>
      <c r="H28" s="184"/>
      <c r="I28" s="184"/>
      <c r="J28" s="184"/>
      <c r="K28" s="184"/>
      <c r="L28" s="382"/>
      <c r="M28" s="376"/>
      <c r="N28" s="374"/>
      <c r="O28" s="170" t="s">
        <v>145</v>
      </c>
      <c r="P28" s="198">
        <f aca="true" t="shared" si="60" ref="P28">MIN(IF($B29,P27+IF(ISNUMBER(O28),O28,0),P29/$N27),1)</f>
        <v>0.4</v>
      </c>
      <c r="Q28" s="168">
        <f aca="true" t="shared" si="61" ref="Q28">MIN(IF($B29,Q27+IF(ISNUMBER(P28),P28,0),Q29/$N27),1)</f>
        <v>0.8</v>
      </c>
      <c r="R28" s="168">
        <f aca="true" t="shared" si="62" ref="R28">MIN(IF($B29,R27+IF(ISNUMBER(Q28),Q28,0),R29/$N27),1)</f>
        <v>1</v>
      </c>
      <c r="S28" s="168">
        <f aca="true" t="shared" si="63" ref="S28">MIN(IF($B29,S27+IF(ISNUMBER(R28),R28,0),S29/$N27),1)</f>
        <v>1</v>
      </c>
      <c r="T28" s="168">
        <f aca="true" t="shared" si="64" ref="T28">MIN(IF($B29,T27+IF(ISNUMBER(S28),S28,0),T29/$N27),1)</f>
        <v>1</v>
      </c>
      <c r="U28" s="168">
        <f aca="true" t="shared" si="65" ref="U28">MIN(IF($B29,U27+IF(ISNUMBER(T28),T28,0),U29/$N27),1)</f>
        <v>1</v>
      </c>
      <c r="V28" s="168">
        <f aca="true" t="shared" si="66" ref="V28">MIN(IF($B29,V27+IF(ISNUMBER(U28),U28,0),V29/$N27),1)</f>
        <v>1</v>
      </c>
      <c r="W28" s="168">
        <f aca="true" t="shared" si="67" ref="W28">MIN(IF($B29,W27+IF(ISNUMBER(V28),V28,0),W29/$N27),1)</f>
        <v>1</v>
      </c>
      <c r="X28" s="196"/>
      <c r="AC28" s="168">
        <f aca="true" t="shared" si="68" ref="AC28">MIN(IF($B29,AC27+IF(ISNUMBER(AB28),AB28,0),AC29/$N27),1)</f>
        <v>0</v>
      </c>
    </row>
    <row r="29" spans="1:29" ht="13.8">
      <c r="A29" s="184">
        <f ca="1">OFFSET(A29,-CFF.NumLinha,0)+1</f>
        <v>4</v>
      </c>
      <c r="B29" s="184" t="b">
        <f ca="1">$C29&gt;=OFFSET($C29,CFF.NumLinha,0)</f>
        <v>1</v>
      </c>
      <c r="C29" s="184">
        <f ca="1">INDEX(PO!A$12:A$32,MATCH($A29,PO!$V$12:$V$32,0))</f>
        <v>2</v>
      </c>
      <c r="D29" s="184">
        <f aca="true" t="shared" si="69" ref="D29">IF(ISERROR(J29),I29,SMALL(I29:J29,1))-1</f>
        <v>2</v>
      </c>
      <c r="E29" s="184">
        <f ca="1">IF($C29=1,OFFSET(E29,-CFF.NumLinha,0)+1,OFFSET(E29,-CFF.NumLinha,0))</f>
        <v>1</v>
      </c>
      <c r="F29" s="184">
        <f ca="1">IF($C29=1,0,IF($C29=2,OFFSET(F29,-CFF.NumLinha,0)+1,OFFSET(F29,-CFF.NumLinha,0)))</f>
        <v>3</v>
      </c>
      <c r="G29" s="184">
        <f ca="1">IF(AND($C29&lt;=2,$C29&lt;&gt;0),0,IF($C29=3,OFFSET(G29,-CFF.NumLinha,0)+1,OFFSET(G29,-CFF.NumLinha,0)))</f>
        <v>0</v>
      </c>
      <c r="H29" s="184">
        <f ca="1">IF(AND($C29&lt;=3,$C29&lt;&gt;0),0,IF($C29=4,OFFSET(H29,-CFF.NumLinha,0)+1,OFFSET(H29,-CFF.NumLinha,0)))</f>
        <v>0</v>
      </c>
      <c r="I29" s="184">
        <f aca="true" ca="1" t="shared" si="70" ref="I29">MATCH(0,OFFSET($D29,1,$C29,ROW($A$33)-ROW($A29)),0)</f>
        <v>4</v>
      </c>
      <c r="J29" s="184">
        <f aca="true" ca="1" t="shared" si="71" ref="J29">MATCH(OFFSET($D29,0,$C29)+1,OFFSET($D29,1,$C29,ROW($A$33)-ROW($A29)),0)</f>
        <v>3</v>
      </c>
      <c r="K29" s="185">
        <f ca="1">ROUND(INDEX(PO!T$12:T$32,MATCH($A29,PO!$V$12:$V$32,0)),2)+10^-12</f>
        <v>1E-12</v>
      </c>
      <c r="L29" s="382"/>
      <c r="M29" s="376"/>
      <c r="N29" s="374"/>
      <c r="O29" s="204" t="s">
        <v>20</v>
      </c>
      <c r="P29" s="199">
        <f aca="true" ca="1" t="shared" si="72" ref="P29:W29">IF($B29,ROUND(P28*$N27,2),ROUND(SUMIF(OFFSET($B29,1,0,$D29),TRUE,OFFSET(P29,1,0,$D29))/SUMIF(OFFSET($B29,1,0,$D29),TRUE,OFFSET($K29,1,0,$D29))*$N27,2))</f>
        <v>0</v>
      </c>
      <c r="Q29" s="169">
        <f ca="1" t="shared" si="72"/>
        <v>0</v>
      </c>
      <c r="R29" s="169">
        <f ca="1" t="shared" si="72"/>
        <v>0</v>
      </c>
      <c r="S29" s="169">
        <f ca="1" t="shared" si="72"/>
        <v>0</v>
      </c>
      <c r="T29" s="169">
        <f ca="1" t="shared" si="72"/>
        <v>0</v>
      </c>
      <c r="U29" s="169">
        <f ca="1" t="shared" si="72"/>
        <v>0</v>
      </c>
      <c r="V29" s="169">
        <f ca="1" t="shared" si="72"/>
        <v>0</v>
      </c>
      <c r="W29" s="207">
        <f ca="1" t="shared" si="72"/>
        <v>0</v>
      </c>
      <c r="X29" s="196"/>
      <c r="AC29" s="169">
        <f aca="true" ca="1" t="shared" si="73" ref="AC29">IF($B29,ROUND(AC28*$N27,2),ROUND(SUMIF(OFFSET($B29,1,0,$D29),TRUE,OFFSET(AC29,1,0,$D29))/SUMIF(OFFSET($B29,1,0,$D29),TRUE,OFFSET($K29,1,0,$D29))*$N27,2))</f>
        <v>0</v>
      </c>
    </row>
    <row r="30" spans="1:29" ht="14.25" customHeight="1">
      <c r="A30" s="82"/>
      <c r="B30" s="82"/>
      <c r="C30" s="82"/>
      <c r="D30" s="82"/>
      <c r="E30" s="82"/>
      <c r="F30" s="82"/>
      <c r="G30" s="82"/>
      <c r="H30" s="82"/>
      <c r="I30" s="82"/>
      <c r="J30" s="82"/>
      <c r="K30" s="82"/>
      <c r="L30" s="381" t="str">
        <f ca="1">INDEX(PO!K$12:K$32,MATCH($A32,PO!$V$12:$V$32,0))</f>
        <v>1.4.</v>
      </c>
      <c r="M30" s="375" t="str">
        <f ca="1">INDEX(PO!N$12:N$32,MATCH($A32,PO!$V$12:$V$32,0))</f>
        <v>ESQUADRIAS - VIDROS - PINTURA</v>
      </c>
      <c r="N30" s="373">
        <f ca="1">IF(ROUND(K32,2)=0,K32,ROUND(K32,2))</f>
        <v>1E-12</v>
      </c>
      <c r="O30" s="220" t="s">
        <v>143</v>
      </c>
      <c r="P30" s="225">
        <f ca="1">IF($B32,0,P31-IF(ISNUMBER(O31),O31,0))</f>
        <v>0</v>
      </c>
      <c r="Q30" s="226">
        <v>0.2</v>
      </c>
      <c r="R30" s="226">
        <v>0.8</v>
      </c>
      <c r="S30" s="226">
        <f aca="true" t="shared" si="74" ref="S30">IF($B32,0,S31-IF(ISNUMBER(R31),R31,0))</f>
        <v>0</v>
      </c>
      <c r="T30" s="226">
        <f aca="true" t="shared" si="75" ref="T30">IF($B32,0,T31-IF(ISNUMBER(S31),S31,0))</f>
        <v>0</v>
      </c>
      <c r="U30" s="226">
        <f aca="true" t="shared" si="76" ref="U30">IF($B32,0,U31-IF(ISNUMBER(T31),T31,0))</f>
        <v>0</v>
      </c>
      <c r="V30" s="226">
        <f aca="true" t="shared" si="77" ref="V30">IF($B32,0,V31-IF(ISNUMBER(U31),U31,0))</f>
        <v>0</v>
      </c>
      <c r="W30" s="227">
        <f aca="true" t="shared" si="78" ref="W30">IF($B32,0,W31-IF(ISNUMBER(V31),V31,0))</f>
        <v>0</v>
      </c>
      <c r="X30" s="196"/>
      <c r="AC30" s="221">
        <f ca="1">IF($B32,0,AC31-IF(ISNUMBER(AB31),AB31,0))</f>
        <v>0</v>
      </c>
    </row>
    <row r="31" spans="1:29" ht="13.8">
      <c r="A31" s="184"/>
      <c r="B31" s="184"/>
      <c r="C31" s="184"/>
      <c r="D31" s="184"/>
      <c r="E31" s="184"/>
      <c r="F31" s="184"/>
      <c r="G31" s="184"/>
      <c r="H31" s="184"/>
      <c r="I31" s="184"/>
      <c r="J31" s="184"/>
      <c r="K31" s="184"/>
      <c r="L31" s="382"/>
      <c r="M31" s="376"/>
      <c r="N31" s="374"/>
      <c r="O31" s="170" t="s">
        <v>145</v>
      </c>
      <c r="P31" s="198">
        <f ca="1">MIN(IF($B32,P30+IF(ISNUMBER(O31),O31,0),P32/$N30),1)</f>
        <v>0</v>
      </c>
      <c r="Q31" s="168">
        <f aca="true" t="shared" si="79" ref="Q31">MIN(IF($B32,Q30+IF(ISNUMBER(P31),P31,0),Q32/$N30),1)</f>
        <v>0.2</v>
      </c>
      <c r="R31" s="168">
        <f aca="true" t="shared" si="80" ref="R31">MIN(IF($B32,R30+IF(ISNUMBER(Q31),Q31,0),R32/$N30),1)</f>
        <v>1</v>
      </c>
      <c r="S31" s="168">
        <f aca="true" t="shared" si="81" ref="S31">MIN(IF($B32,S30+IF(ISNUMBER(R31),R31,0),S32/$N30),1)</f>
        <v>1</v>
      </c>
      <c r="T31" s="168">
        <f aca="true" t="shared" si="82" ref="T31">MIN(IF($B32,T30+IF(ISNUMBER(S31),S31,0),T32/$N30),1)</f>
        <v>1</v>
      </c>
      <c r="U31" s="168">
        <f aca="true" t="shared" si="83" ref="U31">MIN(IF($B32,U30+IF(ISNUMBER(T31),T31,0),U32/$N30),1)</f>
        <v>1</v>
      </c>
      <c r="V31" s="168">
        <f aca="true" t="shared" si="84" ref="V31">MIN(IF($B32,V30+IF(ISNUMBER(U31),U31,0),V32/$N30),1)</f>
        <v>1</v>
      </c>
      <c r="W31" s="168">
        <f aca="true" t="shared" si="85" ref="W31">MIN(IF($B32,W30+IF(ISNUMBER(V31),V31,0),W32/$N30),1)</f>
        <v>1</v>
      </c>
      <c r="X31" s="196"/>
      <c r="AC31" s="168">
        <f ca="1">MIN(IF($B32,AC30+IF(ISNUMBER(AB31),AB31,0),AC32/$N30),1)</f>
        <v>0</v>
      </c>
    </row>
    <row r="32" spans="1:29" ht="13.8">
      <c r="A32" s="184">
        <f ca="1">OFFSET(A32,-CFF.NumLinha,0)+1</f>
        <v>5</v>
      </c>
      <c r="B32" s="184" t="b">
        <f ca="1">$C32&gt;=OFFSET($C32,CFF.NumLinha,0)</f>
        <v>1</v>
      </c>
      <c r="C32" s="184">
        <f ca="1">INDEX(PO!A$12:A$32,MATCH($A32,PO!$V$12:$V$32,0))</f>
        <v>2</v>
      </c>
      <c r="D32" s="184">
        <f ca="1">IF(ISERROR(J32),I32,SMALL(I32:J32,1))-1</f>
        <v>0</v>
      </c>
      <c r="E32" s="184">
        <f ca="1">IF($C32=1,OFFSET(E32,-CFF.NumLinha,0)+1,OFFSET(E32,-CFF.NumLinha,0))</f>
        <v>1</v>
      </c>
      <c r="F32" s="184">
        <f ca="1">IF($C32=1,0,IF($C32=2,OFFSET(F32,-CFF.NumLinha,0)+1,OFFSET(F32,-CFF.NumLinha,0)))</f>
        <v>4</v>
      </c>
      <c r="G32" s="184">
        <f ca="1">IF(AND($C32&lt;=2,$C32&lt;&gt;0),0,IF($C32=3,OFFSET(G32,-CFF.NumLinha,0)+1,OFFSET(G32,-CFF.NumLinha,0)))</f>
        <v>0</v>
      </c>
      <c r="H32" s="184">
        <f ca="1">IF(AND($C32&lt;=3,$C32&lt;&gt;0),0,IF($C32=4,OFFSET(H32,-CFF.NumLinha,0)+1,OFFSET(H32,-CFF.NumLinha,0)))</f>
        <v>0</v>
      </c>
      <c r="I32" s="184">
        <f ca="1">MATCH(0,OFFSET($D32,1,$C32,ROW($A$33)-ROW($A32)),0)</f>
        <v>1</v>
      </c>
      <c r="J32" s="184" t="e">
        <f ca="1">MATCH(OFFSET($D32,0,$C32)+1,OFFSET($D32,1,$C32,ROW($A$33)-ROW($A32)),0)</f>
        <v>#N/A</v>
      </c>
      <c r="K32" s="185">
        <f ca="1">ROUND(INDEX(PO!T$12:T$32,MATCH($A32,PO!$V$12:$V$32,0)),2)+10^-12</f>
        <v>1E-12</v>
      </c>
      <c r="L32" s="382"/>
      <c r="M32" s="376"/>
      <c r="N32" s="374"/>
      <c r="O32" s="204" t="s">
        <v>20</v>
      </c>
      <c r="P32" s="199">
        <f ca="1">IF($B32,ROUND(P31*$N30,2),ROUND(SUMIF(OFFSET($B32,1,0,$D32),TRUE,OFFSET(P32,1,0,$D32))/SUMIF(OFFSET($B32,1,0,$D32),TRUE,OFFSET($K32,1,0,$D32))*$N30,2))</f>
        <v>0</v>
      </c>
      <c r="Q32" s="169">
        <f aca="true" ca="1" t="shared" si="86" ref="Q32:W32">IF($B32,ROUND(Q31*$N30,2),ROUND(SUMIF(OFFSET($B32,1,0,$D32),TRUE,OFFSET(Q32,1,0,$D32))/SUMIF(OFFSET($B32,1,0,$D32),TRUE,OFFSET($K32,1,0,$D32))*$N30,2))</f>
        <v>0</v>
      </c>
      <c r="R32" s="169">
        <f ca="1" t="shared" si="86"/>
        <v>0</v>
      </c>
      <c r="S32" s="169">
        <f ca="1" t="shared" si="86"/>
        <v>0</v>
      </c>
      <c r="T32" s="169">
        <f ca="1" t="shared" si="86"/>
        <v>0</v>
      </c>
      <c r="U32" s="169">
        <f ca="1" t="shared" si="86"/>
        <v>0</v>
      </c>
      <c r="V32" s="169">
        <f ca="1" t="shared" si="86"/>
        <v>0</v>
      </c>
      <c r="W32" s="207">
        <f ca="1" t="shared" si="86"/>
        <v>0</v>
      </c>
      <c r="X32" s="196"/>
      <c r="AC32" s="169">
        <f ca="1">IF($B32,ROUND(AC31*$N30,2),ROUND(SUMIF(OFFSET($B32,1,0,$D32),TRUE,OFFSET(AC32,1,0,$D32))/SUMIF(OFFSET($B32,1,0,$D32),TRUE,OFFSET($K32,1,0,$D32))*$N30,2))</f>
        <v>0</v>
      </c>
    </row>
    <row r="33" spans="1:29" s="45" customFormat="1" ht="12.75" customHeight="1">
      <c r="A33" s="1"/>
      <c r="B33" s="1"/>
      <c r="C33" s="184">
        <v>-1</v>
      </c>
      <c r="D33" s="184"/>
      <c r="E33" s="184">
        <v>0</v>
      </c>
      <c r="F33" s="184">
        <v>0</v>
      </c>
      <c r="G33" s="184">
        <v>0</v>
      </c>
      <c r="H33" s="184">
        <v>0</v>
      </c>
      <c r="I33" s="1"/>
      <c r="J33" s="1"/>
      <c r="K33" s="1"/>
      <c r="L33" s="154"/>
      <c r="M33" s="154"/>
      <c r="N33" s="155"/>
      <c r="O33" s="154"/>
      <c r="P33" s="154"/>
      <c r="Q33" s="155"/>
      <c r="R33" s="154"/>
      <c r="S33" s="154"/>
      <c r="T33" s="154"/>
      <c r="U33" s="154"/>
      <c r="V33" s="154"/>
      <c r="W33" s="154"/>
      <c r="X33" s="186"/>
      <c r="AC33" s="154"/>
    </row>
    <row r="34" spans="1:29" ht="12" customHeight="1">
      <c r="A34" s="1"/>
      <c r="B34" s="1"/>
      <c r="C34" s="1"/>
      <c r="D34" s="1"/>
      <c r="E34" s="1"/>
      <c r="F34" s="1"/>
      <c r="G34" s="1"/>
      <c r="H34" s="1"/>
      <c r="I34" s="1"/>
      <c r="J34" s="1"/>
      <c r="K34" s="1"/>
      <c r="L34" s="187"/>
      <c r="M34" s="187"/>
      <c r="N34" s="187"/>
      <c r="O34" s="187"/>
      <c r="P34" s="187"/>
      <c r="Q34" s="187"/>
      <c r="R34" s="187"/>
      <c r="S34" s="187"/>
      <c r="T34" s="187"/>
      <c r="U34" s="187"/>
      <c r="V34" s="187"/>
      <c r="W34" s="187"/>
      <c r="X34" s="188"/>
      <c r="AC34" s="187"/>
    </row>
    <row r="35" spans="1:29" ht="12.75">
      <c r="A35" s="1"/>
      <c r="B35" s="1"/>
      <c r="C35" s="1"/>
      <c r="D35" s="1"/>
      <c r="E35" s="1"/>
      <c r="F35" s="1"/>
      <c r="G35" s="1"/>
      <c r="H35" s="1"/>
      <c r="I35" s="1"/>
      <c r="J35" s="1"/>
      <c r="K35" s="1"/>
      <c r="L35" s="380">
        <f>DADOS!I32</f>
        <v>0</v>
      </c>
      <c r="M35" s="380"/>
      <c r="N35" s="380"/>
      <c r="O35" s="187"/>
      <c r="P35" s="189"/>
      <c r="Q35" s="377"/>
      <c r="R35" s="377"/>
      <c r="S35" s="377"/>
      <c r="T35" s="187"/>
      <c r="U35" s="187"/>
      <c r="V35" s="187"/>
      <c r="W35" s="187"/>
      <c r="X35" s="188"/>
      <c r="AC35" s="187"/>
    </row>
    <row r="36" spans="1:29" ht="12.75">
      <c r="A36" s="1"/>
      <c r="B36" s="1"/>
      <c r="C36" s="1"/>
      <c r="D36" s="1"/>
      <c r="E36" s="1"/>
      <c r="F36" s="1"/>
      <c r="G36" s="1"/>
      <c r="H36" s="1"/>
      <c r="I36" s="1"/>
      <c r="J36" s="1"/>
      <c r="K36" s="1"/>
      <c r="L36" s="190" t="s">
        <v>120</v>
      </c>
      <c r="M36" s="379"/>
      <c r="N36" s="379"/>
      <c r="O36" s="187"/>
      <c r="P36" s="189"/>
      <c r="Q36" s="377"/>
      <c r="R36" s="377"/>
      <c r="S36" s="377"/>
      <c r="T36" s="187"/>
      <c r="U36" s="187"/>
      <c r="V36" s="187"/>
      <c r="W36" s="187"/>
      <c r="X36" s="188"/>
      <c r="AC36" s="187"/>
    </row>
    <row r="37" spans="1:29" ht="12.75">
      <c r="A37" s="1"/>
      <c r="B37" s="1"/>
      <c r="C37" s="1"/>
      <c r="D37" s="1"/>
      <c r="E37" s="1"/>
      <c r="F37" s="1"/>
      <c r="G37" s="1"/>
      <c r="H37" s="1"/>
      <c r="I37" s="1"/>
      <c r="J37" s="1"/>
      <c r="K37" s="1"/>
      <c r="L37" s="189"/>
      <c r="M37" s="378"/>
      <c r="N37" s="379"/>
      <c r="O37" s="187"/>
      <c r="P37" s="189"/>
      <c r="Q37" s="377"/>
      <c r="R37" s="377"/>
      <c r="S37" s="377"/>
      <c r="T37" s="187"/>
      <c r="U37" s="187"/>
      <c r="V37" s="187"/>
      <c r="W37" s="187"/>
      <c r="X37" s="188"/>
      <c r="AC37" s="187"/>
    </row>
    <row r="38" spans="1:29" ht="12.75">
      <c r="A38" s="1"/>
      <c r="B38" s="1"/>
      <c r="C38" s="1"/>
      <c r="D38" s="1"/>
      <c r="E38" s="1"/>
      <c r="F38" s="1"/>
      <c r="G38" s="1"/>
      <c r="H38" s="1"/>
      <c r="I38" s="1"/>
      <c r="J38" s="1"/>
      <c r="K38" s="1"/>
      <c r="L38" s="383">
        <f ca="1">PO!K46</f>
        <v>43048</v>
      </c>
      <c r="M38" s="383"/>
      <c r="N38" s="383"/>
      <c r="O38" s="187"/>
      <c r="P38" s="187"/>
      <c r="Q38" s="187"/>
      <c r="R38" s="187"/>
      <c r="S38" s="187"/>
      <c r="T38" s="187"/>
      <c r="U38" s="187"/>
      <c r="V38" s="187"/>
      <c r="W38" s="187"/>
      <c r="X38" s="191"/>
      <c r="AC38" s="187"/>
    </row>
    <row r="39" spans="1:29" ht="12.75">
      <c r="A39" s="1"/>
      <c r="B39" s="1"/>
      <c r="C39" s="1"/>
      <c r="D39" s="1"/>
      <c r="E39" s="1"/>
      <c r="F39" s="1"/>
      <c r="G39" s="1"/>
      <c r="H39" s="1"/>
      <c r="I39" s="1"/>
      <c r="J39" s="1"/>
      <c r="K39" s="1"/>
      <c r="L39" s="192" t="s">
        <v>121</v>
      </c>
      <c r="M39" s="193"/>
      <c r="N39" s="193"/>
      <c r="O39" s="187"/>
      <c r="P39" s="187"/>
      <c r="Q39" s="187"/>
      <c r="R39" s="187"/>
      <c r="S39" s="187"/>
      <c r="T39" s="187"/>
      <c r="U39" s="187"/>
      <c r="V39" s="187"/>
      <c r="W39" s="187"/>
      <c r="X39" s="191"/>
      <c r="AC39" s="187"/>
    </row>
    <row r="40" spans="1:29" ht="12.75">
      <c r="A40" s="1"/>
      <c r="B40" s="1"/>
      <c r="C40" s="1"/>
      <c r="D40" s="1"/>
      <c r="E40" s="1"/>
      <c r="F40" s="1"/>
      <c r="G40" s="1"/>
      <c r="H40" s="1"/>
      <c r="I40" s="1"/>
      <c r="J40" s="1"/>
      <c r="K40" s="1"/>
      <c r="L40" s="187"/>
      <c r="M40" s="187"/>
      <c r="N40" s="187"/>
      <c r="O40" s="187"/>
      <c r="P40" s="187"/>
      <c r="Q40" s="187"/>
      <c r="R40" s="187"/>
      <c r="S40" s="187"/>
      <c r="T40" s="187"/>
      <c r="U40" s="187"/>
      <c r="V40" s="187"/>
      <c r="W40" s="187"/>
      <c r="X40" s="191"/>
      <c r="AC40" s="187"/>
    </row>
    <row r="41" spans="1:29" ht="12.75">
      <c r="A41" s="1"/>
      <c r="B41" s="1"/>
      <c r="C41" s="1"/>
      <c r="D41" s="1"/>
      <c r="E41" s="1"/>
      <c r="F41" s="1"/>
      <c r="G41" s="1"/>
      <c r="H41" s="1"/>
      <c r="I41" s="1"/>
      <c r="J41" s="1"/>
      <c r="K41" s="1"/>
      <c r="L41" s="187"/>
      <c r="M41" s="187"/>
      <c r="N41" s="194"/>
      <c r="O41" s="187"/>
      <c r="P41" s="187"/>
      <c r="Q41" s="187"/>
      <c r="R41" s="187"/>
      <c r="S41" s="187"/>
      <c r="T41" s="187"/>
      <c r="U41" s="187"/>
      <c r="V41" s="187"/>
      <c r="W41" s="187"/>
      <c r="X41" s="188"/>
      <c r="AC41" s="187"/>
    </row>
    <row r="42" spans="1:29" ht="12.75">
      <c r="A42" s="1"/>
      <c r="B42" s="1"/>
      <c r="C42" s="1"/>
      <c r="D42" s="1"/>
      <c r="E42" s="1"/>
      <c r="F42" s="1"/>
      <c r="G42" s="1"/>
      <c r="H42" s="1"/>
      <c r="I42" s="1"/>
      <c r="J42" s="1"/>
      <c r="K42" s="1"/>
      <c r="L42" s="187"/>
      <c r="M42" s="187"/>
      <c r="N42" s="194"/>
      <c r="O42" s="187"/>
      <c r="P42" s="187"/>
      <c r="Q42" s="187"/>
      <c r="R42" s="187"/>
      <c r="S42" s="187"/>
      <c r="T42" s="187"/>
      <c r="U42" s="187"/>
      <c r="V42" s="187"/>
      <c r="W42" s="187"/>
      <c r="X42" s="188"/>
      <c r="AC42" s="187"/>
    </row>
    <row r="43" spans="1:29" ht="12.75">
      <c r="A43" s="1"/>
      <c r="B43" s="1"/>
      <c r="C43" s="1"/>
      <c r="D43" s="1"/>
      <c r="E43" s="1"/>
      <c r="F43" s="1"/>
      <c r="G43" s="1"/>
      <c r="H43" s="1"/>
      <c r="I43" s="1"/>
      <c r="J43" s="1"/>
      <c r="K43" s="1"/>
      <c r="L43" s="82"/>
      <c r="M43" s="82"/>
      <c r="N43" s="7"/>
      <c r="O43" s="82"/>
      <c r="P43" s="82"/>
      <c r="Q43" s="82"/>
      <c r="R43" s="82"/>
      <c r="S43" s="82"/>
      <c r="T43" s="82"/>
      <c r="U43" s="82"/>
      <c r="V43" s="82"/>
      <c r="W43" s="187"/>
      <c r="X43" s="188"/>
      <c r="AC43" s="82"/>
    </row>
  </sheetData>
  <sheetProtection algorithmName="SHA-512" hashValue="HT+XGo1dH5KCTN54bWN5jHX0rlJHIfF2ddS5PKvORCKxmLq7u7IMdxNWqIjyJfiKvCilgLJ7zQIrSmdCrZwblg==" saltValue="8dEo8ltFbyeWxW7CJb88IQ==" spinCount="100000" sheet="1" objects="1" scenarios="1"/>
  <mergeCells count="28">
    <mergeCell ref="L38:N38"/>
    <mergeCell ref="L11:L13"/>
    <mergeCell ref="M11:M13"/>
    <mergeCell ref="L14:M17"/>
    <mergeCell ref="N14:N17"/>
    <mergeCell ref="L18:L20"/>
    <mergeCell ref="L21:L23"/>
    <mergeCell ref="M21:M23"/>
    <mergeCell ref="N21:N23"/>
    <mergeCell ref="L24:L26"/>
    <mergeCell ref="M24:M26"/>
    <mergeCell ref="N24:N26"/>
    <mergeCell ref="L27:L29"/>
    <mergeCell ref="M27:M29"/>
    <mergeCell ref="N27:N29"/>
    <mergeCell ref="L8:M8"/>
    <mergeCell ref="N11:N13"/>
    <mergeCell ref="M18:M20"/>
    <mergeCell ref="N18:N20"/>
    <mergeCell ref="Q37:S37"/>
    <mergeCell ref="M37:N37"/>
    <mergeCell ref="Q36:S36"/>
    <mergeCell ref="Q35:S35"/>
    <mergeCell ref="L35:N35"/>
    <mergeCell ref="M36:N36"/>
    <mergeCell ref="L30:L32"/>
    <mergeCell ref="M30:M32"/>
    <mergeCell ref="N30:N32"/>
  </mergeCells>
  <conditionalFormatting sqref="L11:N11 L12:M13 L18:N18">
    <cfRule type="expression" priority="1035" dxfId="16" stopIfTrue="1">
      <formula>$C13=1</formula>
    </cfRule>
  </conditionalFormatting>
  <conditionalFormatting sqref="O11 O18">
    <cfRule type="expression" priority="1107" dxfId="1" stopIfTrue="1">
      <formula>$B13=FALSE</formula>
    </cfRule>
    <cfRule type="expression" priority="1108" dxfId="0" stopIfTrue="1">
      <formula>$C13=1</formula>
    </cfRule>
  </conditionalFormatting>
  <conditionalFormatting sqref="P12:W12">
    <cfRule type="expression" priority="1097" dxfId="6" stopIfTrue="1">
      <formula>AND(ISNUMBER(O13),O13&gt;=$N11)</formula>
    </cfRule>
    <cfRule type="cellIs" priority="1098" dxfId="3" operator="notBetween" stopIfTrue="1">
      <formula>0</formula>
      <formula>1</formula>
    </cfRule>
  </conditionalFormatting>
  <conditionalFormatting sqref="P13:W13">
    <cfRule type="expression" priority="1099" dxfId="4" stopIfTrue="1">
      <formula>AND(ISNUMBER(O13),O13&gt;=$N11)</formula>
    </cfRule>
    <cfRule type="cellIs" priority="1100" dxfId="3" operator="notBetween" stopIfTrue="1">
      <formula>0</formula>
      <formula>$N11</formula>
    </cfRule>
  </conditionalFormatting>
  <conditionalFormatting sqref="P14:W14">
    <cfRule type="expression" priority="1101" dxfId="4" stopIfTrue="1">
      <formula>AND(ISNUMBER(O17),O17&gt;=$N14)</formula>
    </cfRule>
  </conditionalFormatting>
  <conditionalFormatting sqref="P15:W15">
    <cfRule type="expression" priority="1102" dxfId="4" stopIfTrue="1">
      <formula>AND(ISNUMBER(O17),O17&gt;=$N14)</formula>
    </cfRule>
  </conditionalFormatting>
  <conditionalFormatting sqref="P16:W16">
    <cfRule type="expression" priority="1103" dxfId="4" stopIfTrue="1">
      <formula>AND(ISNUMBER(O17),O17&gt;=$N14)</formula>
    </cfRule>
    <cfRule type="cellIs" priority="1104" dxfId="3" operator="notBetween" stopIfTrue="1">
      <formula>0</formula>
      <formula>1</formula>
    </cfRule>
  </conditionalFormatting>
  <conditionalFormatting sqref="P17:W17">
    <cfRule type="expression" priority="1105" dxfId="4" stopIfTrue="1">
      <formula>AND(ISNUMBER(O17),O17&gt;=$N14)</formula>
    </cfRule>
    <cfRule type="cellIs" priority="1106" dxfId="3" operator="notBetween" stopIfTrue="1">
      <formula>0</formula>
      <formula>$N14</formula>
    </cfRule>
  </conditionalFormatting>
  <conditionalFormatting sqref="L8">
    <cfRule type="cellIs" priority="1092" dxfId="3" operator="notEqual" stopIfTrue="1">
      <formula>""</formula>
    </cfRule>
  </conditionalFormatting>
  <conditionalFormatting sqref="N9">
    <cfRule type="expression" priority="1091" dxfId="68" stopIfTrue="1">
      <formula>TipoOrçamento&lt;&gt;"REPROGRAMADOAC"</formula>
    </cfRule>
  </conditionalFormatting>
  <conditionalFormatting sqref="L19:M20">
    <cfRule type="expression" priority="1926" dxfId="16" stopIfTrue="1">
      <formula>#REF!=1</formula>
    </cfRule>
  </conditionalFormatting>
  <conditionalFormatting sqref="P11:W11">
    <cfRule type="expression" priority="246" dxfId="2" stopIfTrue="1">
      <formula>AND(ISNUMBER(O13),O13&gt;=$N11)</formula>
    </cfRule>
    <cfRule type="expression" priority="247" dxfId="1" stopIfTrue="1">
      <formula>$B13=FALSE</formula>
    </cfRule>
    <cfRule type="expression" priority="248" dxfId="0" stopIfTrue="1">
      <formula>$C13=1</formula>
    </cfRule>
  </conditionalFormatting>
  <conditionalFormatting sqref="P19:W19">
    <cfRule type="expression" priority="197" dxfId="6" stopIfTrue="1">
      <formula>AND(ISNUMBER(O20),O20&gt;=$N18)</formula>
    </cfRule>
    <cfRule type="cellIs" priority="198" dxfId="3" operator="notBetween" stopIfTrue="1">
      <formula>0</formula>
      <formula>1</formula>
    </cfRule>
  </conditionalFormatting>
  <conditionalFormatting sqref="P20:W20">
    <cfRule type="expression" priority="199" dxfId="4" stopIfTrue="1">
      <formula>AND(ISNUMBER(O20),O20&gt;=$N18)</formula>
    </cfRule>
    <cfRule type="cellIs" priority="200" dxfId="3" operator="notBetween" stopIfTrue="1">
      <formula>0</formula>
      <formula>$N18</formula>
    </cfRule>
  </conditionalFormatting>
  <conditionalFormatting sqref="O10:W10">
    <cfRule type="expression" priority="169" dxfId="35" stopIfTrue="1">
      <formula>1=1</formula>
    </cfRule>
  </conditionalFormatting>
  <conditionalFormatting sqref="P18:W18">
    <cfRule type="expression" priority="124" dxfId="2" stopIfTrue="1">
      <formula>AND(ISNUMBER(O20),O20&gt;=$N18)</formula>
    </cfRule>
    <cfRule type="expression" priority="125" dxfId="1" stopIfTrue="1">
      <formula>$B20=FALSE</formula>
    </cfRule>
    <cfRule type="expression" priority="126" dxfId="0" stopIfTrue="1">
      <formula>$C20=1</formula>
    </cfRule>
  </conditionalFormatting>
  <conditionalFormatting sqref="AC18">
    <cfRule type="expression" priority="44" dxfId="2" stopIfTrue="1">
      <formula>AND(ISNUMBER(AB20),AB20&gt;=$N18)</formula>
    </cfRule>
    <cfRule type="expression" priority="45" dxfId="1" stopIfTrue="1">
      <formula>$B20=FALSE</formula>
    </cfRule>
    <cfRule type="expression" priority="46" dxfId="0" stopIfTrue="1">
      <formula>$C20=1</formula>
    </cfRule>
  </conditionalFormatting>
  <conditionalFormatting sqref="AC12">
    <cfRule type="expression" priority="59" dxfId="6" stopIfTrue="1">
      <formula>AND(ISNUMBER(AB13),AB13&gt;=$N11)</formula>
    </cfRule>
    <cfRule type="cellIs" priority="60" dxfId="3" operator="notBetween" stopIfTrue="1">
      <formula>0</formula>
      <formula>1</formula>
    </cfRule>
  </conditionalFormatting>
  <conditionalFormatting sqref="AC13">
    <cfRule type="expression" priority="61" dxfId="4" stopIfTrue="1">
      <formula>AND(ISNUMBER(AB13),AB13&gt;=$N11)</formula>
    </cfRule>
    <cfRule type="cellIs" priority="62" dxfId="3" operator="notBetween" stopIfTrue="1">
      <formula>0</formula>
      <formula>$N11</formula>
    </cfRule>
  </conditionalFormatting>
  <conditionalFormatting sqref="AC14">
    <cfRule type="expression" priority="63" dxfId="4" stopIfTrue="1">
      <formula>AND(ISNUMBER(AB17),AB17&gt;=$N14)</formula>
    </cfRule>
  </conditionalFormatting>
  <conditionalFormatting sqref="AC15">
    <cfRule type="expression" priority="64" dxfId="4" stopIfTrue="1">
      <formula>AND(ISNUMBER(AB17),AB17&gt;=$N14)</formula>
    </cfRule>
  </conditionalFormatting>
  <conditionalFormatting sqref="AC16">
    <cfRule type="expression" priority="65" dxfId="4" stopIfTrue="1">
      <formula>AND(ISNUMBER(AB17),AB17&gt;=$N14)</formula>
    </cfRule>
    <cfRule type="cellIs" priority="66" dxfId="3" operator="notBetween" stopIfTrue="1">
      <formula>0</formula>
      <formula>1</formula>
    </cfRule>
  </conditionalFormatting>
  <conditionalFormatting sqref="AC17">
    <cfRule type="expression" priority="67" dxfId="4" stopIfTrue="1">
      <formula>AND(ISNUMBER(AB17),AB17&gt;=$N14)</formula>
    </cfRule>
    <cfRule type="cellIs" priority="68" dxfId="3" operator="notBetween" stopIfTrue="1">
      <formula>0</formula>
      <formula>$N14</formula>
    </cfRule>
  </conditionalFormatting>
  <conditionalFormatting sqref="AC11">
    <cfRule type="expression" priority="56" dxfId="2" stopIfTrue="1">
      <formula>AND(ISNUMBER(AB13),AB13&gt;=$N11)</formula>
    </cfRule>
    <cfRule type="expression" priority="57" dxfId="1" stopIfTrue="1">
      <formula>$B13=FALSE</formula>
    </cfRule>
    <cfRule type="expression" priority="58" dxfId="0" stopIfTrue="1">
      <formula>$C13=1</formula>
    </cfRule>
  </conditionalFormatting>
  <conditionalFormatting sqref="AC19">
    <cfRule type="expression" priority="52" dxfId="6" stopIfTrue="1">
      <formula>AND(ISNUMBER(AB20),AB20&gt;=$N18)</formula>
    </cfRule>
    <cfRule type="cellIs" priority="53" dxfId="3" operator="notBetween" stopIfTrue="1">
      <formula>0</formula>
      <formula>1</formula>
    </cfRule>
  </conditionalFormatting>
  <conditionalFormatting sqref="AC20">
    <cfRule type="expression" priority="54" dxfId="4" stopIfTrue="1">
      <formula>AND(ISNUMBER(AB20),AB20&gt;=$N18)</formula>
    </cfRule>
    <cfRule type="cellIs" priority="55" dxfId="3" operator="notBetween" stopIfTrue="1">
      <formula>0</formula>
      <formula>$N18</formula>
    </cfRule>
  </conditionalFormatting>
  <conditionalFormatting sqref="AC10">
    <cfRule type="expression" priority="47" dxfId="35" stopIfTrue="1">
      <formula>1=1</formula>
    </cfRule>
  </conditionalFormatting>
  <conditionalFormatting sqref="L21:N21 L24:N24 L27:N27 L22:M23 L25:M26">
    <cfRule type="expression" priority="28" dxfId="16" stopIfTrue="1">
      <formula>$C23=1</formula>
    </cfRule>
  </conditionalFormatting>
  <conditionalFormatting sqref="O21 O24 O27">
    <cfRule type="expression" priority="33" dxfId="1" stopIfTrue="1">
      <formula>$B23=FALSE</formula>
    </cfRule>
    <cfRule type="expression" priority="34" dxfId="0" stopIfTrue="1">
      <formula>$C23=1</formula>
    </cfRule>
  </conditionalFormatting>
  <conditionalFormatting sqref="P22:W22 P25:W25 P28:W28">
    <cfRule type="expression" priority="29" dxfId="6" stopIfTrue="1">
      <formula>AND(ISNUMBER(O23),O23&gt;=$N21)</formula>
    </cfRule>
    <cfRule type="cellIs" priority="30" dxfId="3" operator="notBetween" stopIfTrue="1">
      <formula>0</formula>
      <formula>1</formula>
    </cfRule>
  </conditionalFormatting>
  <conditionalFormatting sqref="P23:W23 P26:W26 P29:W29">
    <cfRule type="expression" priority="31" dxfId="4" stopIfTrue="1">
      <formula>AND(ISNUMBER(O23),O23&gt;=$N21)</formula>
    </cfRule>
    <cfRule type="cellIs" priority="32" dxfId="3" operator="notBetween" stopIfTrue="1">
      <formula>0</formula>
      <formula>$N21</formula>
    </cfRule>
  </conditionalFormatting>
  <conditionalFormatting sqref="P21:W21 P24:W24 P27:W27">
    <cfRule type="expression" priority="25" dxfId="2" stopIfTrue="1">
      <formula>AND(ISNUMBER(O23),O23&gt;=$N21)</formula>
    </cfRule>
    <cfRule type="expression" priority="26" dxfId="1" stopIfTrue="1">
      <formula>$B23=FALSE</formula>
    </cfRule>
    <cfRule type="expression" priority="27" dxfId="0" stopIfTrue="1">
      <formula>$C23=1</formula>
    </cfRule>
  </conditionalFormatting>
  <conditionalFormatting sqref="AC22 AC25 AC28">
    <cfRule type="expression" priority="21" dxfId="6" stopIfTrue="1">
      <formula>AND(ISNUMBER(AB23),AB23&gt;=$N21)</formula>
    </cfRule>
    <cfRule type="cellIs" priority="22" dxfId="3" operator="notBetween" stopIfTrue="1">
      <formula>0</formula>
      <formula>1</formula>
    </cfRule>
  </conditionalFormatting>
  <conditionalFormatting sqref="AC23 AC26 AC29">
    <cfRule type="expression" priority="23" dxfId="4" stopIfTrue="1">
      <formula>AND(ISNUMBER(AB23),AB23&gt;=$N21)</formula>
    </cfRule>
    <cfRule type="cellIs" priority="24" dxfId="3" operator="notBetween" stopIfTrue="1">
      <formula>0</formula>
      <formula>$N21</formula>
    </cfRule>
  </conditionalFormatting>
  <conditionalFormatting sqref="AC21 AC24 AC27">
    <cfRule type="expression" priority="18" dxfId="2" stopIfTrue="1">
      <formula>AND(ISNUMBER(AB23),AB23&gt;=$N21)</formula>
    </cfRule>
    <cfRule type="expression" priority="19" dxfId="1" stopIfTrue="1">
      <formula>$B23=FALSE</formula>
    </cfRule>
    <cfRule type="expression" priority="20" dxfId="0" stopIfTrue="1">
      <formula>$C23=1</formula>
    </cfRule>
  </conditionalFormatting>
  <conditionalFormatting sqref="L28:M29">
    <cfRule type="expression" priority="1927" dxfId="16" stopIfTrue="1">
      <formula>$C33=1</formula>
    </cfRule>
  </conditionalFormatting>
  <conditionalFormatting sqref="L30:N30 L31:M32">
    <cfRule type="expression" priority="11" dxfId="16" stopIfTrue="1">
      <formula>$C32=1</formula>
    </cfRule>
  </conditionalFormatting>
  <conditionalFormatting sqref="O30">
    <cfRule type="expression" priority="16" dxfId="1" stopIfTrue="1">
      <formula>$B32=FALSE</formula>
    </cfRule>
    <cfRule type="expression" priority="17" dxfId="0" stopIfTrue="1">
      <formula>$C32=1</formula>
    </cfRule>
  </conditionalFormatting>
  <conditionalFormatting sqref="P31:W31">
    <cfRule type="expression" priority="12" dxfId="6" stopIfTrue="1">
      <formula>AND(ISNUMBER(O32),O32&gt;=$N30)</formula>
    </cfRule>
    <cfRule type="cellIs" priority="13" dxfId="3" operator="notBetween" stopIfTrue="1">
      <formula>0</formula>
      <formula>1</formula>
    </cfRule>
  </conditionalFormatting>
  <conditionalFormatting sqref="P32:W32">
    <cfRule type="expression" priority="14" dxfId="4" stopIfTrue="1">
      <formula>AND(ISNUMBER(O32),O32&gt;=$N30)</formula>
    </cfRule>
    <cfRule type="cellIs" priority="15" dxfId="3" operator="notBetween" stopIfTrue="1">
      <formula>0</formula>
      <formula>$N30</formula>
    </cfRule>
  </conditionalFormatting>
  <conditionalFormatting sqref="P30:W30">
    <cfRule type="expression" priority="8" dxfId="2" stopIfTrue="1">
      <formula>AND(ISNUMBER(O32),O32&gt;=$N30)</formula>
    </cfRule>
    <cfRule type="expression" priority="9" dxfId="1" stopIfTrue="1">
      <formula>$B32=FALSE</formula>
    </cfRule>
    <cfRule type="expression" priority="10" dxfId="0" stopIfTrue="1">
      <formula>$C32=1</formula>
    </cfRule>
  </conditionalFormatting>
  <conditionalFormatting sqref="AC31">
    <cfRule type="expression" priority="4" dxfId="6" stopIfTrue="1">
      <formula>AND(ISNUMBER(AB32),AB32&gt;=$N30)</formula>
    </cfRule>
    <cfRule type="cellIs" priority="5" dxfId="3" operator="notBetween" stopIfTrue="1">
      <formula>0</formula>
      <formula>1</formula>
    </cfRule>
  </conditionalFormatting>
  <conditionalFormatting sqref="AC32">
    <cfRule type="expression" priority="6" dxfId="4" stopIfTrue="1">
      <formula>AND(ISNUMBER(AB32),AB32&gt;=$N30)</formula>
    </cfRule>
    <cfRule type="cellIs" priority="7" dxfId="3" operator="notBetween" stopIfTrue="1">
      <formula>0</formula>
      <formula>$N30</formula>
    </cfRule>
  </conditionalFormatting>
  <conditionalFormatting sqref="AC30">
    <cfRule type="expression" priority="1" dxfId="2" stopIfTrue="1">
      <formula>AND(ISNUMBER(AB32),AB32&gt;=$N30)</formula>
    </cfRule>
    <cfRule type="expression" priority="2" dxfId="1" stopIfTrue="1">
      <formula>$B32=FALSE</formula>
    </cfRule>
    <cfRule type="expression" priority="3" dxfId="0" stopIfTrue="1">
      <formula>$C32=1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1:W11 P18:W18 AC11 AC18 P21:W21 P24:W24 P27:W27 AC21 AC24 AC27 P30:W30 AC30">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2017-10-06T17:50:34Z</cp:lastPrinted>
  <dcterms:created xsi:type="dcterms:W3CDTF">1998-03-27T18:43:07Z</dcterms:created>
  <dcterms:modified xsi:type="dcterms:W3CDTF">2017-11-09T13:11:46Z</dcterms:modified>
  <cp:category/>
  <cp:version/>
  <cp:contentType/>
  <cp:contentStatus/>
</cp:coreProperties>
</file>